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ashboard" sheetId="1" r:id="rId5"/>
    <sheet state="visible" name="Budget" sheetId="2" r:id="rId6"/>
    <sheet state="visible" name="Quotes Log" sheetId="3" r:id="rId7"/>
    <sheet state="visible" name="Invoices &amp; Payments" sheetId="4" r:id="rId8"/>
  </sheets>
  <definedNames/>
  <calcPr/>
</workbook>
</file>

<file path=xl/sharedStrings.xml><?xml version="1.0" encoding="utf-8"?>
<sst xmlns="http://schemas.openxmlformats.org/spreadsheetml/2006/main" count="342" uniqueCount="236">
  <si>
    <t>CONTRACTOR QUOTES &amp; TENDER COMPARISON LOG</t>
  </si>
  <si>
    <t>HOUSE EXTENSION MASTER BUDGET &amp; CONTINGENCY TRACKER</t>
  </si>
  <si>
    <t>HOUSE EXTENSION INVOICE &amp; PAYMENT MANAGEMENT LEDGER</t>
  </si>
  <si>
    <t>Quote Benchmarks:</t>
  </si>
  <si>
    <t>Project Cost Benchmarking:</t>
  </si>
  <si>
    <t>Payment Schedule Benchmarks:</t>
  </si>
  <si>
    <t>Invoice #</t>
  </si>
  <si>
    <t>Category</t>
  </si>
  <si>
    <t>Date</t>
  </si>
  <si>
    <t>Trade Category</t>
  </si>
  <si>
    <t>Quote ID</t>
  </si>
  <si>
    <t>Contractor Name</t>
  </si>
  <si>
    <t>Supplier / Contractor</t>
  </si>
  <si>
    <t>Scope Overview</t>
  </si>
  <si>
    <t>Scope Description</t>
  </si>
  <si>
    <t>Quoted Amount</t>
  </si>
  <si>
    <t>Net Amount</t>
  </si>
  <si>
    <t>Target Budget</t>
  </si>
  <si>
    <t>VAT (20%)</t>
  </si>
  <si>
    <t>Variance</t>
  </si>
  <si>
    <t>Committed Quote</t>
  </si>
  <si>
    <t>Gross Total</t>
  </si>
  <si>
    <t>Status</t>
  </si>
  <si>
    <t>Incurred Cost</t>
  </si>
  <si>
    <t>Due Date</t>
  </si>
  <si>
    <t>Lead Time</t>
  </si>
  <si>
    <t>Payment Status</t>
  </si>
  <si>
    <t>Notes</t>
  </si>
  <si>
    <t>Payment Method</t>
  </si>
  <si>
    <t>Q-100</t>
  </si>
  <si>
    <t>INV-001</t>
  </si>
  <si>
    <t>Design &amp; Planning</t>
  </si>
  <si>
    <t>Architectural drawings, structural calculations, planning approval</t>
  </si>
  <si>
    <t>Studio Architecture &amp; Design</t>
  </si>
  <si>
    <t>Full RIBA stages 1-4, engineering calcs &amp; planning submission</t>
  </si>
  <si>
    <t>Selected</t>
  </si>
  <si>
    <t>Immediate</t>
  </si>
  <si>
    <t>Planning permission approved</t>
  </si>
  <si>
    <t>Paid</t>
  </si>
  <si>
    <t>Q-101</t>
  </si>
  <si>
    <t>Groundwork &amp; Excavation</t>
  </si>
  <si>
    <t>Apex Civils Ltd</t>
  </si>
  <si>
    <t>Site strip, 1.2m trench foundations, muck away skip transfer</t>
  </si>
  <si>
    <t>BACS Transfer</t>
  </si>
  <si>
    <t>Stage 1: Measured survey &amp; initial scheme design</t>
  </si>
  <si>
    <t>INV-002</t>
  </si>
  <si>
    <t>Stage 2: Planning submission &amp; structural engineering</t>
  </si>
  <si>
    <t>INV-003</t>
  </si>
  <si>
    <t>Building Control &amp; Certification</t>
  </si>
  <si>
    <t>2 weeks</t>
  </si>
  <si>
    <t>Plant hire &amp; waste transfer notes included</t>
  </si>
  <si>
    <t>Premier Building Control</t>
  </si>
  <si>
    <t>Q-102</t>
  </si>
  <si>
    <t>GroundWorks Direct</t>
  </si>
  <si>
    <t>Foundation excavation &amp; soil disposal</t>
  </si>
  <si>
    <t>Credit Card</t>
  </si>
  <si>
    <t>Initial plan check &amp; statutory commencement notice</t>
  </si>
  <si>
    <t>Demolition, foundation trenching, soil removal, spoil skip hire</t>
  </si>
  <si>
    <t>INV-004</t>
  </si>
  <si>
    <t>Stage 1: Site strip &amp; foundation trench excavation</t>
  </si>
  <si>
    <t>INV-005</t>
  </si>
  <si>
    <t>Declined</t>
  </si>
  <si>
    <t>3 weeks</t>
  </si>
  <si>
    <t>Excludes muck away skip permits</t>
  </si>
  <si>
    <t>Q-103</t>
  </si>
  <si>
    <t>Substructure &amp; Foundations</t>
  </si>
  <si>
    <t>ConcreteCore Ltd</t>
  </si>
  <si>
    <t>Steel reinforced slab, DPM, insulation 100mm, screed</t>
  </si>
  <si>
    <t>Stage 2: Muck away skip haulage &amp; trench completion</t>
  </si>
  <si>
    <t>INV-006</t>
  </si>
  <si>
    <t>Substructure stage 1: Footing concrete pour &amp; rebar</t>
  </si>
  <si>
    <t>INV-007</t>
  </si>
  <si>
    <t>1 week</t>
  </si>
  <si>
    <t>Includes pump hire &amp; power float finish</t>
  </si>
  <si>
    <t>Q-104</t>
  </si>
  <si>
    <t>Superstructure &amp; Masonry</t>
  </si>
  <si>
    <t>Heritage Brickwork</t>
  </si>
  <si>
    <t>Facing brick matching existing, dense block, lintels</t>
  </si>
  <si>
    <t>Substructure stage 2: Oversite insulation, DPM &amp; screed</t>
  </si>
  <si>
    <t>INV-008</t>
  </si>
  <si>
    <t>Superstructure stage 1: Cavity brickwork to DPC level</t>
  </si>
  <si>
    <t>INV-009</t>
  </si>
  <si>
    <t>4 weeks</t>
  </si>
  <si>
    <t>Concrete footings, DPC/DPM, sub-base, insulated screed slab</t>
  </si>
  <si>
    <t>Bricks matched to original 1930s blend</t>
  </si>
  <si>
    <t>Q-105</t>
  </si>
  <si>
    <t>BuildRite Construction</t>
  </si>
  <si>
    <t>Cavity masonry &amp; structural steel erection</t>
  </si>
  <si>
    <t>Superstructure stage 2: Wall plate brickwork &amp; steel beam</t>
  </si>
  <si>
    <t>INV-010</t>
  </si>
  <si>
    <t>Roofing &amp; Rainwater</t>
  </si>
  <si>
    <t>Summit Roofing Solutions</t>
  </si>
  <si>
    <t>Approved</t>
  </si>
  <si>
    <t>Roofing stage 1: Roof timber rafters &amp; breathable felt</t>
  </si>
  <si>
    <t>INV-011</t>
  </si>
  <si>
    <t>Glazing &amp; External Doors</t>
  </si>
  <si>
    <t>Horizon Aluminium &amp; Glass</t>
  </si>
  <si>
    <t>6 weeks</t>
  </si>
  <si>
    <t>Higher rate due to weekend labor</t>
  </si>
  <si>
    <t>Q-106</t>
  </si>
  <si>
    <t>Dual-pitch rafters, Welsh slate, seamless aluminium gutters</t>
  </si>
  <si>
    <t>Pending</t>
  </si>
  <si>
    <t>50% deposit for aluminium bi-folds &amp; roof lantern</t>
  </si>
  <si>
    <t>INV-012</t>
  </si>
  <si>
    <t>First Fix Carpentry</t>
  </si>
  <si>
    <t>TimberCraft Specialists</t>
  </si>
  <si>
    <t>First fix timber deliveries &amp; internal partition frames</t>
  </si>
  <si>
    <t>INV-013</t>
  </si>
  <si>
    <t>Electrical Installations</t>
  </si>
  <si>
    <t>VoltCraft Electrical</t>
  </si>
  <si>
    <t>First fix cabling, lighting circuits &amp; consumer unit prep</t>
  </si>
  <si>
    <t>INV-014</t>
  </si>
  <si>
    <t>Plumbing &amp; Heating</t>
  </si>
  <si>
    <t>EcoWarm Heating &amp; Gas</t>
  </si>
  <si>
    <t>25-year manufacturer guarantee on membrane</t>
  </si>
  <si>
    <t>Cavity brickwork, external blockwork, cavity insulation, wall ties</t>
  </si>
  <si>
    <t>Q-107</t>
  </si>
  <si>
    <t>4-panel Schuco bi-folds, 2.5m lantern, solar glass</t>
  </si>
  <si>
    <t>First fix UFH manifold loops &amp; boiler supply lines</t>
  </si>
  <si>
    <t>Total Invoiced</t>
  </si>
  <si>
    <t>5 weeks</t>
  </si>
  <si>
    <t>Includes survey, toughened low-E glazing &amp; fit</t>
  </si>
  <si>
    <t>Q-108</t>
  </si>
  <si>
    <t>ClearVision Glazing Ltd</t>
  </si>
  <si>
    <t>4-panel aluminium bi-fold system &amp; roof lantern</t>
  </si>
  <si>
    <t>Standard U-value 1.4 W/m²K</t>
  </si>
  <si>
    <t>Q-109</t>
  </si>
  <si>
    <t>Stud partitions, door casings, ceiling battens</t>
  </si>
  <si>
    <t>Timber rafters, breathable membrane, slate tiles, fascias, guttering</t>
  </si>
  <si>
    <t>C16 treated timber throughout</t>
  </si>
  <si>
    <t>Q-110</t>
  </si>
  <si>
    <t>Full first &amp; second fix, LED circuits, NICEIC certificate</t>
  </si>
  <si>
    <t>Includes metal clad consumer unit &amp; certification</t>
  </si>
  <si>
    <t>Q-111</t>
  </si>
  <si>
    <t>SparkTech Solutions</t>
  </si>
  <si>
    <t>Extension wiring &amp; consumer board upgrade</t>
  </si>
  <si>
    <t>Does not include smart dimmers</t>
  </si>
  <si>
    <t>Q-112</t>
  </si>
  <si>
    <t>Water UFH manifold, boiler tie-in, pipe runs</t>
  </si>
  <si>
    <t>Aluminium bi-fold doors, bespoke picture window, roof lantern</t>
  </si>
  <si>
    <t>Gas Safe sign-off &amp; screed heating test</t>
  </si>
  <si>
    <t>Q-113</t>
  </si>
  <si>
    <t>Plastering &amp; Drylining</t>
  </si>
  <si>
    <t>SmoothSkim Plasterers</t>
  </si>
  <si>
    <t>Sound insulation, moisture boards, two-coat skim</t>
  </si>
  <si>
    <t>Plaster dry time allowance factored in</t>
  </si>
  <si>
    <t>Q-114</t>
  </si>
  <si>
    <t>Kitchen Supply &amp; Fit</t>
  </si>
  <si>
    <t>Artisan Kitchen Studios</t>
  </si>
  <si>
    <t>Shaker units, 30mm Calacatta quartz, fitting</t>
  </si>
  <si>
    <t>Includes templating &amp; undermount sink cut-outs</t>
  </si>
  <si>
    <t>Q-115</t>
  </si>
  <si>
    <t>Bespoke Culinary Joinery</t>
  </si>
  <si>
    <t>German handleless cabinetry &amp; quartz surfaces</t>
  </si>
  <si>
    <t>Stud walls, door linings, flooring joists, ceiling frameworks</t>
  </si>
  <si>
    <t>8 weeks</t>
  </si>
  <si>
    <t>Premium imported range</t>
  </si>
  <si>
    <t>Q-116</t>
  </si>
  <si>
    <t>Bathroom &amp; Sanitaryware</t>
  </si>
  <si>
    <t>AquaFlow Bathrooms</t>
  </si>
  <si>
    <t>Cloakroom installation, concealed cistern, tiling prep</t>
  </si>
  <si>
    <t>Sanitaryware supplied by client</t>
  </si>
  <si>
    <t>Q-117</t>
  </si>
  <si>
    <t>Flooring &amp; Tiling</t>
  </si>
  <si>
    <t>PrimeFloors &amp; Stone</t>
  </si>
  <si>
    <t>Acoustic underlay, engineered oak flooring throughout</t>
  </si>
  <si>
    <t>Expansion gaps &amp; thresholds included</t>
  </si>
  <si>
    <t>Q-118</t>
  </si>
  <si>
    <t>Painting &amp; Decorating</t>
  </si>
  <si>
    <t>Full extension wiring, consumer board upgrade, first/second fix</t>
  </si>
  <si>
    <t>Fineline Decorators</t>
  </si>
  <si>
    <t>Sanding, undercoats, Little Greene paint finish</t>
  </si>
  <si>
    <t>HOUSE EXTENSION EXECUTIVE COST &amp; ANALYTICS DASHBOARD</t>
  </si>
  <si>
    <t>Received</t>
  </si>
  <si>
    <t>Quote under final review</t>
  </si>
  <si>
    <t>Q-119</t>
  </si>
  <si>
    <t>External Works &amp; Landscaping</t>
  </si>
  <si>
    <t>Greenscape Paving</t>
  </si>
  <si>
    <t>Porcelain patio extension &amp; drainage channel</t>
  </si>
  <si>
    <t>Live construction budget tracking, contractor tender commitments, and expenditure analytics</t>
  </si>
  <si>
    <t>TOTAL BUDGET</t>
  </si>
  <si>
    <t>Requires sample tile approval</t>
  </si>
  <si>
    <t>Underfloor heating system, radiator loops, waste &amp; hot/cold supply</t>
  </si>
  <si>
    <t>COMMITTED QUOTES</t>
  </si>
  <si>
    <t>TOTAL INVOICED</t>
  </si>
  <si>
    <t>ACTUAL PAID</t>
  </si>
  <si>
    <t>CONTINGENCY FUND</t>
  </si>
  <si>
    <t>REMAINING BUDGET</t>
  </si>
  <si>
    <t>Acoustic insulation, plasterboard, skimming walls and ceilings</t>
  </si>
  <si>
    <t>Kitchen units, stone worktops, island installation, extractor fit</t>
  </si>
  <si>
    <t>Utility room cloaks, WC suite, plumbing fittings, vanity unit</t>
  </si>
  <si>
    <t>Approved Baseline</t>
  </si>
  <si>
    <t>Awarded Tenders</t>
  </si>
  <si>
    <t>All Invoices Raised</t>
  </si>
  <si>
    <t>Settled Cash Outflow</t>
  </si>
  <si>
    <t>10% Reserve Buffer</t>
  </si>
  <si>
    <t>Uninvoiced Balance</t>
  </si>
  <si>
    <t>Budget Consumption:</t>
  </si>
  <si>
    <t>Subfloor leveling, engineered oak flooring, splashback tiling</t>
  </si>
  <si>
    <t>PHASE &amp; TRADE BREAKDOWN SUMMARY</t>
  </si>
  <si>
    <t>Construction Phase</t>
  </si>
  <si>
    <t>Scope &amp; Trades</t>
  </si>
  <si>
    <t>Committed Quotes</t>
  </si>
  <si>
    <t>Internal mist coats, vinyl matt emulsion, woodwork finish</t>
  </si>
  <si>
    <t>Actual Paid</t>
  </si>
  <si>
    <t>1. Pre-Construction</t>
  </si>
  <si>
    <t>Design, structural calcs &amp; building control</t>
  </si>
  <si>
    <t>Patio paving tie-in, soakaway drainage, exterior step masonry</t>
  </si>
  <si>
    <t>Building regulations site inspections, completion certificates</t>
  </si>
  <si>
    <t>2. Groundwork &amp; Foundations</t>
  </si>
  <si>
    <t>Site strip, trenching, DPM, insulated slab</t>
  </si>
  <si>
    <t>Project Contingency (10%)</t>
  </si>
  <si>
    <t>Buffer for structural unforeseen ground conditions &amp; variances</t>
  </si>
  <si>
    <t>3. Superstructure &amp; Envelope</t>
  </si>
  <si>
    <t>Masonry cavity walls, roof, bi-folds &amp; glazing</t>
  </si>
  <si>
    <t>Total Construction Cost</t>
  </si>
  <si>
    <t>Comprehensive extension budget sum</t>
  </si>
  <si>
    <t>4. First Fix &amp; Services</t>
  </si>
  <si>
    <t>Stud partitions, rewiring, UFH &amp; plumbing</t>
  </si>
  <si>
    <t>5. Internal Fit-Out &amp; Finishes</t>
  </si>
  <si>
    <t>Drylining, kitchen, bathroom, flooring, decor</t>
  </si>
  <si>
    <t>6. External Works &amp; Paving</t>
  </si>
  <si>
    <t>Patio extension, gullies &amp; drainage</t>
  </si>
  <si>
    <t>7. Contingency Reserve</t>
  </si>
  <si>
    <t>Unforeseen site variations buffer (10%)</t>
  </si>
  <si>
    <t>Total Extension Tracking</t>
  </si>
  <si>
    <t>All construction stages sum</t>
  </si>
  <si>
    <t>HOW TO RESET TO A BLANK TEMPLATE</t>
  </si>
  <si>
    <t>🔄 RESET TEMPLATE
Clear demo data to begin</t>
  </si>
  <si>
    <t>1. Clear Budget: Open 'Budget' tab and clear target values in C5:D20 →</t>
  </si>
  <si>
    <t>2. Clear Quotes: Open 'Quotes Log' tab and delete demo records in A5:J24 →</t>
  </si>
  <si>
    <t>3. Clear Invoices: Open 'Invoices &amp; Payments' tab and delete rows in A5:K18 →</t>
  </si>
  <si>
    <t>ℹ️ All Dashboard summary cards, phase tables, and the visual chart will automatically update to zero.</t>
  </si>
  <si>
    <t>PROJECT AUTOMATION &amp; COST INTELLIGENCE</t>
  </si>
  <si>
    <t>Eliminate manual spreadsheet entry. CostTrack automatically tracks quotes, manages contractor tenders, and logs invoices.</t>
  </si>
  <si>
    <t>Visit costtrack.build to automate project finances, benchmark UK build rates, and protect your contingency fund.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</si>
</sst>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-mm-dd"/>
    <numFmt numFmtId="165" formatCode="£#,##0"/>
    <numFmt numFmtId="166" formatCode="£#,##0.00"/>
  </numFmts>
  <fonts count="23">
    <font>
      <sz val="10.0"/>
      <color rgb="FF000000"/>
      <name val="Arial"/>
      <scheme val="minor"/>
    </font>
    <font>
      <b/>
      <sz val="14.0"/>
      <color rgb="FF171C1F"/>
      <name val="Roboto"/>
    </font>
    <font>
      <b/>
      <sz val="9.0"/>
      <color rgb="FF71777E"/>
      <name val="Roboto"/>
    </font>
    <font>
      <b/>
      <u/>
      <sz val="9.0"/>
      <color rgb="FF104973"/>
      <name val="Roboto"/>
    </font>
    <font>
      <b/>
      <sz val="10.0"/>
      <color rgb="FFFFFFFF"/>
      <name val="Roboto"/>
    </font>
    <font>
      <sz val="10.0"/>
      <color theme="1"/>
      <name val="Roboto"/>
    </font>
    <font>
      <b/>
      <sz val="10.0"/>
      <color rgb="FF171C1F"/>
      <name val="Roboto"/>
    </font>
    <font>
      <color theme="1"/>
      <name val="Arial"/>
      <scheme val="minor"/>
    </font>
    <font>
      <b/>
      <sz val="16.0"/>
      <color rgb="FF171C1F"/>
      <name val="Roboto"/>
    </font>
    <font>
      <sz val="10.0"/>
      <color rgb="FF71777E"/>
      <name val="Roboto"/>
    </font>
    <font>
      <b/>
      <sz val="9.0"/>
      <color rgb="FF394756"/>
      <name val="Roboto"/>
    </font>
    <font/>
    <font>
      <b/>
      <sz val="16.0"/>
      <color rgb="FF2F618B"/>
      <name val="Roboto"/>
    </font>
    <font>
      <sz val="8.0"/>
      <color rgb="FF71777E"/>
      <name val="Roboto"/>
    </font>
    <font>
      <sz val="9.0"/>
      <color rgb="FF71777E"/>
      <name val="Roboto"/>
    </font>
    <font>
      <b/>
      <sz val="11.0"/>
      <color rgb="FF171C1F"/>
      <name val="Roboto"/>
    </font>
    <font>
      <b/>
      <sz val="10.0"/>
      <color rgb="FF161C1E"/>
      <name val="Roboto"/>
    </font>
    <font>
      <u/>
      <sz val="10.0"/>
      <color rgb="FF0F4873"/>
      <name val="Roboto"/>
    </font>
    <font>
      <i/>
      <sz val="9.0"/>
      <color rgb="FF596B7A"/>
      <name val="Roboto"/>
    </font>
    <font>
      <b/>
      <u/>
      <sz val="10.0"/>
      <color rgb="FF0F4873"/>
      <name val="Roboto"/>
    </font>
    <font>
      <b/>
      <sz val="10.0"/>
      <color rgb="FF104973"/>
      <name val="Roboto"/>
    </font>
    <font>
      <b/>
      <u/>
      <sz val="10.0"/>
      <color rgb="FF104973"/>
      <name val="Roboto"/>
    </font>
    <font>
      <sz val="9.0"/>
      <color rgb="FF394756"/>
      <name val="Roboto"/>
    </font>
  </fonts>
  <fills count="11">
    <fill>
      <patternFill patternType="none"/>
    </fill>
    <fill>
      <patternFill patternType="lightGray"/>
    </fill>
    <fill>
      <patternFill patternType="solid">
        <fgColor rgb="FF2F618B"/>
        <bgColor rgb="FF2F618B"/>
      </patternFill>
    </fill>
    <fill>
      <patternFill patternType="solid">
        <fgColor rgb="FFD4E3F7"/>
        <bgColor rgb="FFD4E3F7"/>
      </patternFill>
    </fill>
    <fill>
      <patternFill patternType="solid">
        <fgColor rgb="FFEBEDF4"/>
        <bgColor rgb="FFEBEDF4"/>
      </patternFill>
    </fill>
    <fill>
      <patternFill patternType="solid">
        <fgColor rgb="FFFFFFFF"/>
        <bgColor rgb="FFFFFFFF"/>
      </patternFill>
    </fill>
    <fill>
      <patternFill patternType="solid">
        <fgColor rgb="FFEDF3FB"/>
        <bgColor rgb="FFEDF3FB"/>
      </patternFill>
    </fill>
    <fill>
      <patternFill patternType="solid">
        <fgColor rgb="FF2E608A"/>
        <bgColor rgb="FF2E608A"/>
      </patternFill>
    </fill>
    <fill>
      <patternFill patternType="solid">
        <fgColor rgb="FFF7F9FD"/>
        <bgColor rgb="FFF7F9FD"/>
      </patternFill>
    </fill>
    <fill>
      <patternFill patternType="solid">
        <fgColor rgb="FFE8F0F9"/>
        <bgColor rgb="FFE8F0F9"/>
      </patternFill>
    </fill>
    <fill>
      <patternFill patternType="solid">
        <fgColor rgb="FFF7F8FF"/>
        <bgColor rgb="FFF7F8FF"/>
      </patternFill>
    </fill>
  </fills>
  <borders count="33">
    <border/>
    <border>
      <top style="thin">
        <color rgb="FF2F618B"/>
      </top>
      <bottom style="double">
        <color rgb="FF2F618B"/>
      </bottom>
    </border>
    <border>
      <left style="thin">
        <color rgb="FFCCD8E5"/>
      </left>
      <top style="thin">
        <color rgb="FFCCD8E5"/>
      </top>
    </border>
    <border>
      <right style="thin">
        <color rgb="FFCCD8E5"/>
      </right>
      <top style="thin">
        <color rgb="FFCCD8E5"/>
      </top>
    </border>
    <border>
      <left style="thin">
        <color rgb="FFCCD8E5"/>
      </left>
    </border>
    <border>
      <right style="thin">
        <color rgb="FFCCD8E5"/>
      </right>
    </border>
    <border>
      <left style="thin">
        <color rgb="FFCCD8E5"/>
      </left>
      <bottom style="thin">
        <color rgb="FFCCD8E5"/>
      </bottom>
    </border>
    <border>
      <right style="thin">
        <color rgb="FFCCD8E5"/>
      </right>
      <bottom style="thin">
        <color rgb="FFCCD8E5"/>
      </bottom>
    </border>
    <border>
      <left style="medium">
        <color rgb="FF2E608A"/>
      </left>
      <top style="medium">
        <color rgb="FF2E608A"/>
      </top>
    </border>
    <border>
      <top style="medium">
        <color rgb="FF2E608A"/>
      </top>
    </border>
    <border>
      <right style="medium">
        <color rgb="FF2E608A"/>
      </right>
      <top style="medium">
        <color rgb="FF2E608A"/>
      </top>
    </border>
    <border>
      <left style="medium">
        <color rgb="FF2E608A"/>
      </left>
      <top style="thin">
        <color rgb="FF1E3F60"/>
      </top>
    </border>
    <border>
      <right style="thin">
        <color rgb="FF1E3F60"/>
      </right>
      <top style="thin">
        <color rgb="FF1E3F60"/>
      </top>
    </border>
    <border>
      <top style="thin">
        <color rgb="FFD8E2ED"/>
      </top>
      <bottom style="thin">
        <color rgb="FFD8E2ED"/>
      </bottom>
    </border>
    <border>
      <right style="medium">
        <color rgb="FF2E608A"/>
      </right>
      <top style="thin">
        <color rgb="FFD8E2ED"/>
      </top>
      <bottom style="thin">
        <color rgb="FFD8E2ED"/>
      </bottom>
    </border>
    <border>
      <left style="medium">
        <color rgb="FF2E608A"/>
      </left>
    </border>
    <border>
      <right style="thin">
        <color rgb="FF1E3F60"/>
      </right>
    </border>
    <border>
      <left style="medium">
        <color rgb="FF2E608A"/>
      </left>
      <bottom style="thin">
        <color rgb="FF1E3F60"/>
      </bottom>
    </border>
    <border>
      <right style="thin">
        <color rgb="FF1E3F60"/>
      </right>
      <bottom style="thin">
        <color rgb="FF1E3F60"/>
      </bottom>
    </border>
    <border>
      <left style="medium">
        <color rgb="FF2E608A"/>
      </left>
      <bottom style="thin">
        <color rgb="FFD8E2ED"/>
      </bottom>
    </border>
    <border>
      <bottom style="thin">
        <color rgb="FFD8E2ED"/>
      </bottom>
    </border>
    <border>
      <right style="medium">
        <color rgb="FF2E608A"/>
      </right>
      <bottom style="thin">
        <color rgb="FFD8E2ED"/>
      </bottom>
    </border>
    <border>
      <left style="medium">
        <color rgb="FF2E608A"/>
      </left>
      <top style="thin">
        <color rgb="FFD8E2ED"/>
      </top>
      <bottom style="medium">
        <color rgb="FF2E608A"/>
      </bottom>
    </border>
    <border>
      <top style="thin">
        <color rgb="FFD8E2ED"/>
      </top>
      <bottom style="medium">
        <color rgb="FF2E608A"/>
      </bottom>
    </border>
    <border>
      <right style="medium">
        <color rgb="FF2E608A"/>
      </right>
      <top style="thin">
        <color rgb="FFD8E2ED"/>
      </top>
      <bottom style="medium">
        <color rgb="FF2E608A"/>
      </bottom>
    </border>
    <border>
      <left style="medium">
        <color rgb="FF2F618B"/>
      </left>
      <top style="medium">
        <color rgb="FF2F618B"/>
      </top>
    </border>
    <border>
      <top style="medium">
        <color rgb="FF2F618B"/>
      </top>
    </border>
    <border>
      <right style="medium">
        <color rgb="FF2F618B"/>
      </right>
      <top style="medium">
        <color rgb="FF2F618B"/>
      </top>
    </border>
    <border>
      <left style="medium">
        <color rgb="FF2F618B"/>
      </left>
    </border>
    <border>
      <right style="medium">
        <color rgb="FF2F618B"/>
      </right>
    </border>
    <border>
      <left style="medium">
        <color rgb="FF2F618B"/>
      </left>
      <bottom style="medium">
        <color rgb="FF2F618B"/>
      </bottom>
    </border>
    <border>
      <bottom style="medium">
        <color rgb="FF2F618B"/>
      </bottom>
    </border>
    <border>
      <right style="medium">
        <color rgb="FF2F618B"/>
      </right>
      <bottom style="medium">
        <color rgb="FF2F618B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Font="1"/>
    <xf borderId="0" fillId="2" fontId="4" numFmtId="0" xfId="0" applyAlignment="1" applyFill="1" applyFont="1">
      <alignment horizontal="center" readingOrder="0"/>
    </xf>
    <xf borderId="0" fillId="2" fontId="4" numFmtId="0" xfId="0" applyAlignment="1" applyFill="1" applyFont="1">
      <alignment horizontal="left" readingOrder="0"/>
    </xf>
    <xf borderId="0" fillId="2" fontId="4" numFmtId="0" xfId="0" applyAlignment="1" applyFill="1" applyFont="1">
      <alignment horizontal="right" readingOrder="0"/>
    </xf>
    <xf borderId="0" fillId="0" fontId="5" numFmtId="0" xfId="0" applyAlignment="1" applyFont="1">
      <alignment horizontal="center" readingOrder="0"/>
    </xf>
    <xf borderId="0" fillId="0" fontId="5" numFmtId="0" xfId="0" applyAlignment="1" applyFont="1">
      <alignment readingOrder="0"/>
    </xf>
    <xf borderId="0" fillId="0" fontId="5" numFmtId="164" xfId="0" applyAlignment="1" applyFont="1" applyNumberFormat="1">
      <alignment horizontal="center" readingOrder="0"/>
    </xf>
    <xf borderId="0" fillId="0" fontId="5" numFmtId="165" xfId="0" applyAlignment="1" applyFont="1" applyNumberFormat="1">
      <alignment horizontal="right" readingOrder="0"/>
    </xf>
    <xf borderId="0" fillId="0" fontId="5" numFmtId="166" xfId="0" applyAlignment="1" applyFont="1" applyNumberFormat="1">
      <alignment horizontal="right" readingOrder="0"/>
    </xf>
    <xf borderId="0" fillId="0" fontId="5" numFmtId="165" xfId="0" applyAlignment="1" applyFont="1" applyNumberFormat="1">
      <alignment horizontal="right"/>
    </xf>
    <xf borderId="0" fillId="0" fontId="5" numFmtId="166" xfId="0" applyAlignment="1" applyFont="1" applyNumberFormat="1">
      <alignment horizontal="right"/>
    </xf>
    <xf borderId="0" fillId="0" fontId="5" numFmtId="0" xfId="0" applyAlignment="1" applyFont="1">
      <alignment horizontal="center"/>
    </xf>
    <xf borderId="1" fillId="3" fontId="6" numFmtId="0" xfId="0" applyAlignment="1" applyBorder="1" applyFill="1" applyFont="1">
      <alignment readingOrder="0"/>
    </xf>
    <xf borderId="1" fillId="3" fontId="6" numFmtId="0" xfId="0" applyBorder="1" applyFill="1" applyFont="1"/>
    <xf borderId="1" fillId="3" fontId="6" numFmtId="166" xfId="0" applyAlignment="1" applyBorder="1" applyFill="1" applyFont="1" applyNumberFormat="1">
      <alignment horizontal="right"/>
    </xf>
    <xf borderId="0" fillId="0" fontId="7" numFmtId="0" xfId="0" applyFont="1"/>
    <xf borderId="0" fillId="0" fontId="8" numFmtId="0" xfId="0" applyAlignment="1" applyFont="1">
      <alignment readingOrder="0"/>
    </xf>
    <xf borderId="0" fillId="0" fontId="9" numFmtId="0" xfId="0" applyAlignment="1" applyFont="1">
      <alignment readingOrder="0"/>
    </xf>
    <xf borderId="2" fillId="4" fontId="10" numFmtId="0" xfId="0" applyAlignment="1" applyBorder="1" applyFill="1" applyFont="1">
      <alignment horizontal="center" readingOrder="0"/>
    </xf>
    <xf borderId="3" fillId="0" fontId="11" numFmtId="0" xfId="0" applyBorder="1" applyFont="1"/>
    <xf borderId="4" fillId="5" fontId="12" numFmtId="165" xfId="0" applyAlignment="1" applyBorder="1" applyFill="1" applyFont="1" applyNumberFormat="1">
      <alignment horizontal="center"/>
    </xf>
    <xf borderId="5" fillId="0" fontId="11" numFmtId="0" xfId="0" applyBorder="1" applyFont="1"/>
    <xf borderId="6" fillId="5" fontId="13" numFmtId="0" xfId="0" applyAlignment="1" applyBorder="1" applyFill="1" applyFont="1">
      <alignment horizontal="center" readingOrder="0"/>
    </xf>
    <xf borderId="7" fillId="0" fontId="11" numFmtId="0" xfId="0" applyBorder="1" applyFont="1"/>
    <xf borderId="0" fillId="0" fontId="10" numFmtId="0" xfId="0" applyAlignment="1" applyFont="1">
      <alignment readingOrder="0"/>
    </xf>
    <xf borderId="0" fillId="0" fontId="14" numFmtId="0" xfId="0" applyFont="1"/>
    <xf borderId="0" fillId="0" fontId="15" numFmtId="0" xfId="0" applyAlignment="1" applyFont="1">
      <alignment readingOrder="0"/>
    </xf>
    <xf borderId="0" fillId="0" fontId="15" numFmtId="0" xfId="0" applyFont="1"/>
    <xf borderId="1" fillId="3" fontId="6" numFmtId="165" xfId="0" applyAlignment="1" applyBorder="1" applyFill="1" applyFont="1" applyNumberFormat="1">
      <alignment horizontal="right"/>
    </xf>
    <xf borderId="1" fillId="3" fontId="6" numFmtId="0" xfId="0" applyAlignment="1" applyBorder="1" applyFill="1" applyFont="1">
      <alignment horizontal="center"/>
    </xf>
    <xf borderId="8" fillId="6" fontId="16" numFmtId="0" xfId="0" applyAlignment="1" applyBorder="1" applyFill="1" applyFont="1">
      <alignment horizontal="left" readingOrder="0" vertical="center"/>
    </xf>
    <xf borderId="9" fillId="0" fontId="11" numFmtId="0" xfId="0" applyBorder="1" applyFont="1"/>
    <xf borderId="10" fillId="0" fontId="11" numFmtId="0" xfId="0" applyBorder="1" applyFont="1"/>
    <xf borderId="11" fillId="7" fontId="4" numFmtId="0" xfId="0" applyAlignment="1" applyBorder="1" applyFill="1" applyFont="1">
      <alignment horizontal="center" readingOrder="0" shrinkToFit="0" vertical="center" wrapText="1"/>
    </xf>
    <xf borderId="12" fillId="0" fontId="11" numFmtId="0" xfId="0" applyBorder="1" applyFont="1"/>
    <xf borderId="13" fillId="8" fontId="17" numFmtId="0" xfId="0" applyAlignment="1" applyBorder="1" applyFill="1" applyFont="1">
      <alignment horizontal="left" shrinkToFit="0" vertical="center" wrapText="1"/>
    </xf>
    <xf borderId="13" fillId="0" fontId="11" numFmtId="0" xfId="0" applyBorder="1" applyFont="1"/>
    <xf borderId="14" fillId="0" fontId="11" numFmtId="0" xfId="0" applyBorder="1" applyFont="1"/>
    <xf borderId="15" fillId="0" fontId="11" numFmtId="0" xfId="0" applyBorder="1" applyFont="1"/>
    <xf borderId="16" fillId="0" fontId="11" numFmtId="0" xfId="0" applyBorder="1" applyFont="1"/>
    <xf borderId="17" fillId="0" fontId="11" numFmtId="0" xfId="0" applyBorder="1" applyFont="1"/>
    <xf borderId="18" fillId="0" fontId="11" numFmtId="0" xfId="0" applyBorder="1" applyFont="1"/>
    <xf borderId="19" fillId="8" fontId="18" numFmtId="0" xfId="0" applyAlignment="1" applyBorder="1" applyFill="1" applyFont="1">
      <alignment horizontal="left" readingOrder="0" vertical="center"/>
    </xf>
    <xf borderId="20" fillId="0" fontId="11" numFmtId="0" xfId="0" applyBorder="1" applyFont="1"/>
    <xf borderId="21" fillId="0" fontId="11" numFmtId="0" xfId="0" applyBorder="1" applyFont="1"/>
    <xf borderId="22" fillId="9" fontId="19" numFmtId="0" xfId="0" applyAlignment="1" applyBorder="1" applyFill="1" applyFont="1">
      <alignment horizontal="center" vertical="center"/>
    </xf>
    <xf borderId="23" fillId="0" fontId="11" numFmtId="0" xfId="0" applyBorder="1" applyFont="1"/>
    <xf borderId="24" fillId="0" fontId="11" numFmtId="0" xfId="0" applyBorder="1" applyFont="1"/>
    <xf borderId="25" fillId="10" fontId="20" numFmtId="0" xfId="0" applyAlignment="1" applyBorder="1" applyFill="1" applyFont="1">
      <alignment readingOrder="0"/>
    </xf>
    <xf borderId="26" fillId="0" fontId="11" numFmtId="0" xfId="0" applyBorder="1" applyFont="1"/>
    <xf borderId="27" fillId="0" fontId="11" numFmtId="0" xfId="0" applyBorder="1" applyFont="1"/>
    <xf borderId="28" fillId="10" fontId="21" numFmtId="0" xfId="0" applyBorder="1" applyFill="1" applyFont="1"/>
    <xf borderId="29" fillId="0" fontId="11" numFmtId="0" xfId="0" applyBorder="1" applyFont="1"/>
    <xf borderId="28" fillId="10" fontId="22" numFmtId="0" xfId="0" applyAlignment="1" applyBorder="1" applyFill="1" applyFont="1">
      <alignment readingOrder="0"/>
    </xf>
    <xf borderId="30" fillId="10" fontId="22" numFmtId="0" xfId="0" applyAlignment="1" applyBorder="1" applyFill="1" applyFont="1">
      <alignment readingOrder="0"/>
    </xf>
    <xf borderId="31" fillId="0" fontId="11" numFmtId="0" xfId="0" applyBorder="1" applyFont="1"/>
    <xf borderId="32" fillId="0" fontId="1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Major Phase Cost Analysis: Budget vs. Committed vs. Paid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Dashboard!$D$10</c:f>
            </c:strRef>
          </c:tx>
          <c:spPr>
            <a:solidFill>
              <a:srgbClr val="2F618B"/>
            </a:solidFill>
            <a:ln cmpd="sng">
              <a:noFill/>
            </a:ln>
          </c:spPr>
          <c:invertIfNegative val="0"/>
          <c:cat>
            <c:strRef>
              <c:f>Dashboard!$B$11:$B$17</c:f>
            </c:strRef>
          </c:cat>
          <c:val>
            <c:numRef>
              <c:f>Dashboard!$D$11:$D$17</c:f>
              <c:numCache/>
            </c:numRef>
          </c:val>
        </c:ser>
        <c:ser>
          <c:idx val="1"/>
          <c:order val="1"/>
          <c:tx>
            <c:strRef>
              <c:f>Dashboard!$E$10</c:f>
            </c:strRef>
          </c:tx>
          <c:spPr>
            <a:solidFill>
              <a:srgbClr val="81AEDE"/>
            </a:solidFill>
            <a:ln cmpd="sng">
              <a:noFill/>
            </a:ln>
          </c:spPr>
          <c:invertIfNegative val="0"/>
          <c:cat>
            <c:strRef>
              <c:f>Dashboard!$B$11:$B$17</c:f>
            </c:strRef>
          </c:cat>
          <c:val>
            <c:numRef>
              <c:f>Dashboard!$E$11:$E$17</c:f>
              <c:numCache/>
            </c:numRef>
          </c:val>
        </c:ser>
        <c:ser>
          <c:idx val="2"/>
          <c:order val="2"/>
          <c:tx>
            <c:strRef>
              <c:f>Dashboard!$F$10</c:f>
            </c:strRef>
          </c:tx>
          <c:spPr>
            <a:solidFill>
              <a:srgbClr val="3EC08A"/>
            </a:solidFill>
            <a:ln cmpd="sng">
              <a:noFill/>
            </a:ln>
          </c:spPr>
          <c:invertIfNegative val="0"/>
          <c:cat>
            <c:strRef>
              <c:f>Dashboard!$B$11:$B$17</c:f>
            </c:strRef>
          </c:cat>
          <c:val>
            <c:numRef>
              <c:f>Dashboard!$F$11:$F$17</c:f>
              <c:numCache/>
            </c:numRef>
          </c:val>
        </c:ser>
        <c:axId val="1324114897"/>
        <c:axId val="755182693"/>
      </c:barChart>
      <c:catAx>
        <c:axId val="132411489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Construction Phase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55182693"/>
      </c:catAx>
      <c:valAx>
        <c:axId val="75518269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Amount (£)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24114897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47625</xdr:colOff>
      <xdr:row>9</xdr:row>
      <xdr:rowOff>0</xdr:rowOff>
    </xdr:from>
    <xdr:ext cx="6286500" cy="3048000"/>
    <xdr:graphicFrame>
      <xdr:nvGraphicFramePr>
        <xdr:cNvPr id="1" name="Chart 1" title="Major Phase Cost Analysis: Budget vs. Committed vs. Paid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25"/>
    <col customWidth="1" min="2" max="2" width="23.88"/>
    <col customWidth="1" min="3" max="3" width="32.63"/>
    <col customWidth="1" min="4" max="4" width="14.5"/>
    <col customWidth="1" min="5" max="5" width="15.13"/>
    <col customWidth="1" min="6" max="6" width="13.25"/>
    <col customWidth="1" min="7" max="7" width="12.0"/>
    <col customWidth="1" min="8" max="8" width="3.25"/>
    <col customWidth="1" min="9" max="16" width="10.75"/>
  </cols>
  <sheetData>
    <row r="2">
      <c r="B2" s="20" t="s">
        <v>172</v>
      </c>
    </row>
    <row r="3">
      <c r="B3" s="21" t="s">
        <v>179</v>
      </c>
    </row>
    <row r="4">
      <c r="B4" s="22" t="s">
        <v>180</v>
      </c>
      <c r="C4" s="23"/>
      <c r="D4" s="22" t="s">
        <v>183</v>
      </c>
      <c r="E4" s="23"/>
      <c r="F4" s="22" t="s">
        <v>184</v>
      </c>
      <c r="G4" s="23"/>
      <c r="H4" s="22" t="s">
        <v>185</v>
      </c>
      <c r="I4" s="23"/>
      <c r="J4" s="22" t="s">
        <v>186</v>
      </c>
      <c r="K4" s="23"/>
      <c r="L4" s="22" t="s">
        <v>187</v>
      </c>
      <c r="M4" s="23"/>
    </row>
    <row r="5">
      <c r="B5" s="24">
        <f>Budget!C22</f>
        <v>146000</v>
      </c>
      <c r="C5" s="25"/>
      <c r="D5" s="24">
        <f>Budget!D22</f>
        <v>121700</v>
      </c>
      <c r="E5" s="25"/>
      <c r="F5" s="24">
        <f>Budget!E22</f>
        <v>63800</v>
      </c>
      <c r="G5" s="25"/>
      <c r="H5" s="24">
        <f>SUMIF('Invoices &amp; Payments'!$I$5:$I$30, "Paid", 'Invoices &amp; Payments'!$G$5:$G$30)</f>
        <v>40100</v>
      </c>
      <c r="I5" s="25"/>
      <c r="J5" s="24">
        <f>Budget!C21-SUMIF('Invoices &amp; Payments'!$C$5:$C$30, "Project Contingency (10%)", 'Invoices &amp; Payments'!$G$5:$G$30)</f>
        <v>12000</v>
      </c>
      <c r="K5" s="25"/>
      <c r="L5" s="24">
        <f>Budget!C22-Budget!E22</f>
        <v>82200</v>
      </c>
      <c r="M5" s="25"/>
    </row>
    <row r="6">
      <c r="B6" s="26" t="s">
        <v>191</v>
      </c>
      <c r="C6" s="27"/>
      <c r="D6" s="26" t="s">
        <v>192</v>
      </c>
      <c r="E6" s="27"/>
      <c r="F6" s="26" t="s">
        <v>193</v>
      </c>
      <c r="G6" s="27"/>
      <c r="H6" s="26" t="s">
        <v>194</v>
      </c>
      <c r="I6" s="27"/>
      <c r="J6" s="26" t="s">
        <v>195</v>
      </c>
      <c r="K6" s="27"/>
      <c r="L6" s="26" t="s">
        <v>196</v>
      </c>
      <c r="M6" s="27"/>
    </row>
    <row r="7">
      <c r="B7" s="28" t="s">
        <v>197</v>
      </c>
      <c r="C7" s="19" t="str">
        <f>IFERROR(__xludf.DUMMYFUNCTION("SPARKLINE(Budget!E22, {""charttype"",""bar"";""max"",Budget!C22;""color1"",""#30628c""})"),"")</f>
        <v/>
      </c>
      <c r="G7" s="29" t="str">
        <f>"Invoiced: " &amp; TEXT(Budget!E22/Budget!C22, "0.0%") &amp; " of Total Budget"</f>
        <v>Invoiced: 43.7% of Total Budget</v>
      </c>
    </row>
    <row r="9">
      <c r="B9" s="30" t="s">
        <v>199</v>
      </c>
      <c r="H9" s="30"/>
      <c r="I9" s="31"/>
    </row>
    <row r="10">
      <c r="B10" s="6" t="s">
        <v>200</v>
      </c>
      <c r="C10" s="6" t="s">
        <v>201</v>
      </c>
      <c r="D10" s="7" t="s">
        <v>17</v>
      </c>
      <c r="E10" s="7" t="s">
        <v>202</v>
      </c>
      <c r="F10" s="7" t="s">
        <v>204</v>
      </c>
      <c r="G10" s="5" t="s">
        <v>22</v>
      </c>
    </row>
    <row r="11">
      <c r="B11" s="9" t="s">
        <v>205</v>
      </c>
      <c r="C11" s="9" t="s">
        <v>206</v>
      </c>
      <c r="D11" s="13">
        <f>SUM(Budget!C5, Budget!C20)</f>
        <v>8500</v>
      </c>
      <c r="E11" s="13">
        <f>SUM(Budget!D5, Budget!D20)</f>
        <v>6400</v>
      </c>
      <c r="F11" s="13">
        <f>SUMIFS('Invoices &amp; Payments'!$G$5:$G$30, 'Invoices &amp; Payments'!$C$5:$C$30, "Design &amp; Planning", 'Invoices &amp; Payments'!$I$5:$I$30, "Paid") + SUMIFS('Invoices &amp; Payments'!$G$5:$G$30, 'Invoices &amp; Payments'!$C$5:$C$30, "Building Control &amp; Certification", 'Invoices &amp; Payments'!$I$5:$I$30, "Paid")</f>
        <v>7600</v>
      </c>
      <c r="G11" s="15" t="str">
        <f>IF(F11&gt;D11, "Over Budget", IF(F11&gt;0, "In Progress", "Pending"))</f>
        <v>In Progress</v>
      </c>
    </row>
    <row r="12">
      <c r="B12" s="9" t="s">
        <v>209</v>
      </c>
      <c r="C12" s="9" t="s">
        <v>210</v>
      </c>
      <c r="D12" s="13">
        <f>SUM(Budget!C6:C7)</f>
        <v>20500</v>
      </c>
      <c r="E12" s="13">
        <f>SUM(Budget!D6:D7)</f>
        <v>20000</v>
      </c>
      <c r="F12" s="13">
        <f>SUMIFS('Invoices &amp; Payments'!$G$5:$G$30, 'Invoices &amp; Payments'!$C$5:$C$30, "Groundwork &amp; Excavation", 'Invoices &amp; Payments'!$I$5:$I$30, "Paid") + SUMIFS('Invoices &amp; Payments'!$G$5:$G$30, 'Invoices &amp; Payments'!$C$5:$C$30, "Substructure &amp; Foundations", 'Invoices &amp; Payments'!$I$5:$I$30, "Paid")</f>
        <v>20000</v>
      </c>
      <c r="G12" s="15" t="str">
        <f>IF(F12&gt;D12, "Over Budget", IF(F12=E12, "Complete", "In Progress"))</f>
        <v>Complete</v>
      </c>
    </row>
    <row r="13">
      <c r="B13" s="9" t="s">
        <v>213</v>
      </c>
      <c r="C13" s="9" t="s">
        <v>214</v>
      </c>
      <c r="D13" s="13">
        <f>SUM(Budget!C8:C10)</f>
        <v>43500</v>
      </c>
      <c r="E13" s="13">
        <f>SUM(Budget!D8:D10)</f>
        <v>42800</v>
      </c>
      <c r="F13" s="13">
        <f>SUMIFS('Invoices &amp; Payments'!$G$5:$G$30, 'Invoices &amp; Payments'!$C$5:$C$30, "Superstructure &amp; Masonry", 'Invoices &amp; Payments'!$I$5:$I$30, "Paid") + SUMIFS('Invoices &amp; Payments'!$G$5:$G$30, 'Invoices &amp; Payments'!$C$5:$C$30, "Roofing &amp; Rainwater", 'Invoices &amp; Payments'!$I$5:$I$30, "Paid") + SUMIFS('Invoices &amp; Payments'!$G$5:$G$30, 'Invoices &amp; Payments'!$C$5:$C$30, "Glazing &amp; External Doors", 'Invoices &amp; Payments'!$I$5:$I$30, "Paid")</f>
        <v>12500</v>
      </c>
      <c r="G13" s="15" t="str">
        <f t="shared" ref="G13:G16" si="1">IF(F13&gt;D13, "Over Budget", IF(F13&gt;0, "In Progress", "Pending"))</f>
        <v>In Progress</v>
      </c>
    </row>
    <row r="14">
      <c r="B14" s="9" t="s">
        <v>217</v>
      </c>
      <c r="C14" s="9" t="s">
        <v>218</v>
      </c>
      <c r="D14" s="13">
        <f>SUM(Budget!C11:C13)</f>
        <v>22500</v>
      </c>
      <c r="E14" s="13">
        <f>SUM(Budget!D11:D13)</f>
        <v>21800</v>
      </c>
      <c r="F14" s="13">
        <f>SUMIFS('Invoices &amp; Payments'!$G$5:$G$30, 'Invoices &amp; Payments'!$C$5:$C$30, "First Fix Carpentry", 'Invoices &amp; Payments'!$I$5:$I$30, "Paid") + SUMIFS('Invoices &amp; Payments'!$G$5:$G$30, 'Invoices &amp; Payments'!$C$5:$C$30, "Electrical Installations", 'Invoices &amp; Payments'!$I$5:$I$30, "Paid") + SUMIFS('Invoices &amp; Payments'!$G$5:$G$30, 'Invoices &amp; Payments'!$C$5:$C$30, "Plumbing &amp; Heating", 'Invoices &amp; Payments'!$I$5:$I$30, "Paid")</f>
        <v>0</v>
      </c>
      <c r="G14" s="15" t="str">
        <f t="shared" si="1"/>
        <v>Pending</v>
      </c>
    </row>
    <row r="15">
      <c r="B15" s="9" t="s">
        <v>219</v>
      </c>
      <c r="C15" s="9" t="s">
        <v>220</v>
      </c>
      <c r="D15" s="13">
        <f>SUM(Budget!C14:C18)</f>
        <v>35000</v>
      </c>
      <c r="E15" s="13">
        <f>SUM(Budget!D14:D18)</f>
        <v>30700</v>
      </c>
      <c r="F15" s="13">
        <f>SUMIFS('Invoices &amp; Payments'!$G$5:$G$30, 'Invoices &amp; Payments'!$C$5:$C$30, "Plastering &amp; Drylining", 'Invoices &amp; Payments'!$I$5:$I$30, "Paid") + SUMIFS('Invoices &amp; Payments'!$G$5:$G$30, 'Invoices &amp; Payments'!$C$5:$C$30, "Kitchen Supply &amp; Fit", 'Invoices &amp; Payments'!$I$5:$I$30, "Paid") + SUMIFS('Invoices &amp; Payments'!$G$5:$G$30, 'Invoices &amp; Payments'!$C$5:$C$30, "Bathroom &amp; Sanitaryware", 'Invoices &amp; Payments'!$I$5:$I$30, "Paid") + SUMIFS('Invoices &amp; Payments'!$G$5:$G$30, 'Invoices &amp; Payments'!$C$5:$C$30, "Flooring &amp; Tiling", 'Invoices &amp; Payments'!$I$5:$I$30, "Paid") + SUMIFS('Invoices &amp; Payments'!$G$5:$G$30, 'Invoices &amp; Payments'!$C$5:$C$30, "Painting &amp; Decorating", 'Invoices &amp; Payments'!$I$5:$I$30, "Paid")</f>
        <v>0</v>
      </c>
      <c r="G15" s="15" t="str">
        <f t="shared" si="1"/>
        <v>Pending</v>
      </c>
    </row>
    <row r="16">
      <c r="B16" s="9" t="s">
        <v>221</v>
      </c>
      <c r="C16" s="9" t="s">
        <v>222</v>
      </c>
      <c r="D16" s="13">
        <f>Budget!C19</f>
        <v>4000</v>
      </c>
      <c r="E16" s="13">
        <f>Budget!D19</f>
        <v>0</v>
      </c>
      <c r="F16" s="13">
        <f>SUMIFS('Invoices &amp; Payments'!$G$5:$G$30, 'Invoices &amp; Payments'!$C$5:$C$30, "External Works &amp; Landscaping", 'Invoices &amp; Payments'!$I$5:$I$30, "Paid")</f>
        <v>0</v>
      </c>
      <c r="G16" s="15" t="str">
        <f t="shared" si="1"/>
        <v>Pending</v>
      </c>
    </row>
    <row r="17">
      <c r="B17" s="9" t="s">
        <v>223</v>
      </c>
      <c r="C17" s="9" t="s">
        <v>224</v>
      </c>
      <c r="D17" s="13">
        <f>Budget!C21</f>
        <v>12000</v>
      </c>
      <c r="E17" s="13">
        <f>Budget!D21</f>
        <v>0</v>
      </c>
      <c r="F17" s="13">
        <f>SUMIFS('Invoices &amp; Payments'!$G$5:$G$30, 'Invoices &amp; Payments'!$C$5:$C$30, "Project Contingency (10%)", 'Invoices &amp; Payments'!$I$5:$I$30, "Paid")</f>
        <v>0</v>
      </c>
      <c r="G17" s="15" t="str">
        <f>IF(F17&gt;0, "Drawdown", "Available")</f>
        <v>Available</v>
      </c>
    </row>
    <row r="18">
      <c r="B18" s="16" t="s">
        <v>225</v>
      </c>
      <c r="C18" s="16" t="s">
        <v>226</v>
      </c>
      <c r="D18" s="32">
        <f t="shared" ref="D18:F18" si="2">SUM(D11:D17)</f>
        <v>146000</v>
      </c>
      <c r="E18" s="32">
        <f t="shared" si="2"/>
        <v>121700</v>
      </c>
      <c r="F18" s="32">
        <f t="shared" si="2"/>
        <v>40100</v>
      </c>
      <c r="G18" s="33" t="str">
        <f>IF(F18&lt;=D18, "On Target", "Over Budget")</f>
        <v>On Target</v>
      </c>
    </row>
    <row r="20">
      <c r="B20" s="34" t="s">
        <v>227</v>
      </c>
      <c r="C20" s="35"/>
      <c r="D20" s="35"/>
      <c r="E20" s="35"/>
      <c r="F20" s="35"/>
      <c r="G20" s="36"/>
    </row>
    <row r="21">
      <c r="B21" s="37" t="s">
        <v>228</v>
      </c>
      <c r="C21" s="38"/>
      <c r="D21" s="39" t="s">
        <v>229</v>
      </c>
      <c r="E21" s="40"/>
      <c r="F21" s="40"/>
      <c r="G21" s="41"/>
    </row>
    <row r="22">
      <c r="B22" s="42"/>
      <c r="C22" s="43"/>
      <c r="D22" s="39" t="s">
        <v>230</v>
      </c>
      <c r="E22" s="40"/>
      <c r="F22" s="40"/>
      <c r="G22" s="41"/>
    </row>
    <row r="23">
      <c r="B23" s="44"/>
      <c r="C23" s="45"/>
      <c r="D23" s="39" t="s">
        <v>231</v>
      </c>
      <c r="E23" s="40"/>
      <c r="F23" s="40"/>
      <c r="G23" s="41"/>
    </row>
    <row r="24">
      <c r="B24" s="46" t="s">
        <v>232</v>
      </c>
      <c r="C24" s="47"/>
      <c r="D24" s="47"/>
      <c r="E24" s="47"/>
      <c r="F24" s="47"/>
      <c r="G24" s="48"/>
    </row>
    <row r="25">
      <c r="B25" s="49" t="str">
        <f>HYPERLINK("https://www.costtrack.build/", "🚀 Prefer automated tracking without spreadsheets? Upgrade to CostTrack.build ↗")</f>
        <v>🚀 Prefer automated tracking without spreadsheets? Upgrade to CostTrack.build ↗</v>
      </c>
      <c r="C25" s="50"/>
      <c r="D25" s="50"/>
      <c r="E25" s="50"/>
      <c r="F25" s="50"/>
      <c r="G25" s="51"/>
    </row>
    <row r="26">
      <c r="I26" s="52" t="s">
        <v>233</v>
      </c>
      <c r="J26" s="53"/>
      <c r="K26" s="53"/>
      <c r="L26" s="53"/>
      <c r="M26" s="53"/>
      <c r="N26" s="53"/>
      <c r="O26" s="53"/>
      <c r="P26" s="54"/>
    </row>
    <row r="27">
      <c r="I27" s="55" t="str">
        <f>HYPERLINK("https://www.costtrack.build/", "CostTrack.build — Automate Your Construction Budgets &amp; Quotes ↗")</f>
        <v>CostTrack.build — Automate Your Construction Budgets &amp; Quotes ↗</v>
      </c>
      <c r="P27" s="56"/>
    </row>
    <row r="28">
      <c r="I28" s="57" t="s">
        <v>234</v>
      </c>
      <c r="P28" s="56"/>
    </row>
    <row r="29">
      <c r="I29" s="58" t="s">
        <v>235</v>
      </c>
      <c r="J29" s="59"/>
      <c r="K29" s="59"/>
      <c r="L29" s="59"/>
      <c r="M29" s="59"/>
      <c r="N29" s="59"/>
      <c r="O29" s="59"/>
      <c r="P29" s="60"/>
    </row>
  </sheetData>
  <mergeCells count="35">
    <mergeCell ref="F5:G5"/>
    <mergeCell ref="F6:G6"/>
    <mergeCell ref="C7:F7"/>
    <mergeCell ref="G7:I7"/>
    <mergeCell ref="B9:G9"/>
    <mergeCell ref="I9:P9"/>
    <mergeCell ref="H4:I4"/>
    <mergeCell ref="H5:I5"/>
    <mergeCell ref="B4:C4"/>
    <mergeCell ref="J4:K4"/>
    <mergeCell ref="J5:K5"/>
    <mergeCell ref="J6:K6"/>
    <mergeCell ref="I26:P26"/>
    <mergeCell ref="I27:P27"/>
    <mergeCell ref="I28:P28"/>
    <mergeCell ref="I29:P29"/>
    <mergeCell ref="L4:M4"/>
    <mergeCell ref="L5:M5"/>
    <mergeCell ref="B2:M2"/>
    <mergeCell ref="B3:M3"/>
    <mergeCell ref="B5:C5"/>
    <mergeCell ref="B6:C6"/>
    <mergeCell ref="D5:E5"/>
    <mergeCell ref="D6:E6"/>
    <mergeCell ref="H6:I6"/>
    <mergeCell ref="L6:M6"/>
    <mergeCell ref="B24:G24"/>
    <mergeCell ref="B25:G25"/>
    <mergeCell ref="D4:E4"/>
    <mergeCell ref="F4:G4"/>
    <mergeCell ref="B20:G20"/>
    <mergeCell ref="B21:C23"/>
    <mergeCell ref="D21:G21"/>
    <mergeCell ref="D22:G22"/>
    <mergeCell ref="D23:G23"/>
  </mergeCells>
  <hyperlinks>
    <hyperlink display="1. Clear Budget: Open 'Budget' tab and clear target values in C5:D20 →" location="Budget!A1" ref="D21"/>
    <hyperlink display="2. Clear Quotes: Open 'Quotes Log' tab and delete demo records in A5:J24 →" location="'Quotes Log'!A1" ref="D22"/>
    <hyperlink display="3. Clear Invoices: Open 'Invoices &amp; Payments' tab and delete rows in A5:K18 →" location="'Invoices &amp; Payments'!A1" ref="D23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30.75"/>
    <col customWidth="1" min="2" max="2" width="47.63"/>
    <col customWidth="1" min="3" max="6" width="17.0"/>
    <col customWidth="1" min="7" max="7" width="15.13"/>
  </cols>
  <sheetData>
    <row r="1">
      <c r="A1" s="1" t="s">
        <v>1</v>
      </c>
      <c r="B1" s="2"/>
      <c r="C1" s="2"/>
      <c r="D1" s="2"/>
      <c r="E1" s="2"/>
      <c r="F1" s="2"/>
      <c r="G1" s="2"/>
    </row>
    <row r="2">
      <c r="A2" s="3" t="s">
        <v>4</v>
      </c>
      <c r="B2" s="4" t="str">
        <f>HYPERLINK("https://www.costtrack.build/", "Automate budget calculations &amp; trade rate benchmarks at CostTrack.build →")</f>
        <v>Automate budget calculations &amp; trade rate benchmarks at CostTrack.build →</v>
      </c>
    </row>
    <row r="4">
      <c r="A4" s="6" t="s">
        <v>7</v>
      </c>
      <c r="B4" s="6" t="s">
        <v>14</v>
      </c>
      <c r="C4" s="7" t="s">
        <v>17</v>
      </c>
      <c r="D4" s="7" t="s">
        <v>20</v>
      </c>
      <c r="E4" s="7" t="s">
        <v>23</v>
      </c>
      <c r="F4" s="7" t="s">
        <v>19</v>
      </c>
      <c r="G4" s="5" t="s">
        <v>22</v>
      </c>
    </row>
    <row r="5">
      <c r="A5" s="9" t="s">
        <v>31</v>
      </c>
      <c r="B5" s="9" t="s">
        <v>32</v>
      </c>
      <c r="C5" s="11">
        <v>6500.0</v>
      </c>
      <c r="D5" s="13">
        <f>SUMIFS('Quotes Log'!$E$5:$E$25, 'Quotes Log'!$B$5:$B$25, A5, 'Quotes Log'!$H$5:$H$25, "Selected")</f>
        <v>6400</v>
      </c>
      <c r="E5" s="13">
        <f>SUMIF('Invoices &amp; Payments'!$C$5:$C$30, A5, 'Invoices &amp; Payments'!$G$5:$G$30)</f>
        <v>6400</v>
      </c>
      <c r="F5" s="13">
        <f t="shared" ref="F5:F21" si="1">C5-E5</f>
        <v>100</v>
      </c>
      <c r="G5" s="15" t="str">
        <f t="shared" ref="G5:G21" si="2">IF(E5&gt;=C5,"Over Budget",IF(E5&gt;0,"In Progress",IF(D5&gt;0,"Committed","Not Started")))</f>
        <v>In Progress</v>
      </c>
    </row>
    <row r="6">
      <c r="A6" s="9" t="s">
        <v>40</v>
      </c>
      <c r="B6" s="9" t="s">
        <v>57</v>
      </c>
      <c r="C6" s="11">
        <v>11000.0</v>
      </c>
      <c r="D6" s="13">
        <f>SUMIFS('Quotes Log'!$E$5:$E$25, 'Quotes Log'!$B$5:$B$25, A6, 'Quotes Log'!$H$5:$H$25, "Selected")</f>
        <v>10800</v>
      </c>
      <c r="E6" s="13">
        <f>SUMIF('Invoices &amp; Payments'!$C$5:$C$30, A6, 'Invoices &amp; Payments'!$G$5:$G$30)</f>
        <v>10800</v>
      </c>
      <c r="F6" s="13">
        <f t="shared" si="1"/>
        <v>200</v>
      </c>
      <c r="G6" s="15" t="str">
        <f t="shared" si="2"/>
        <v>In Progress</v>
      </c>
    </row>
    <row r="7">
      <c r="A7" s="9" t="s">
        <v>65</v>
      </c>
      <c r="B7" s="9" t="s">
        <v>83</v>
      </c>
      <c r="C7" s="11">
        <v>9500.0</v>
      </c>
      <c r="D7" s="13">
        <f>SUMIFS('Quotes Log'!$E$5:$E$25, 'Quotes Log'!$B$5:$B$25, A7, 'Quotes Log'!$H$5:$H$25, "Selected")</f>
        <v>9200</v>
      </c>
      <c r="E7" s="13">
        <f>SUMIF('Invoices &amp; Payments'!$C$5:$C$30, A7, 'Invoices &amp; Payments'!$G$5:$G$30)</f>
        <v>9200</v>
      </c>
      <c r="F7" s="13">
        <f t="shared" si="1"/>
        <v>300</v>
      </c>
      <c r="G7" s="15" t="str">
        <f t="shared" si="2"/>
        <v>In Progress</v>
      </c>
    </row>
    <row r="8">
      <c r="A8" s="9" t="s">
        <v>75</v>
      </c>
      <c r="B8" s="9" t="s">
        <v>115</v>
      </c>
      <c r="C8" s="11">
        <v>17500.0</v>
      </c>
      <c r="D8" s="13">
        <f>SUMIFS('Quotes Log'!$E$5:$E$25, 'Quotes Log'!$B$5:$B$25, A8, 'Quotes Log'!$H$5:$H$25, "Selected")</f>
        <v>17200</v>
      </c>
      <c r="E8" s="13">
        <f>SUMIF('Invoices &amp; Payments'!$C$5:$C$30, A8, 'Invoices &amp; Payments'!$G$5:$G$30)</f>
        <v>12500</v>
      </c>
      <c r="F8" s="13">
        <f t="shared" si="1"/>
        <v>5000</v>
      </c>
      <c r="G8" s="15" t="str">
        <f t="shared" si="2"/>
        <v>In Progress</v>
      </c>
    </row>
    <row r="9">
      <c r="A9" s="9" t="s">
        <v>90</v>
      </c>
      <c r="B9" s="9" t="s">
        <v>128</v>
      </c>
      <c r="C9" s="11">
        <v>12500.0</v>
      </c>
      <c r="D9" s="13">
        <f>SUMIFS('Quotes Log'!$E$5:$E$25, 'Quotes Log'!$B$5:$B$25, A9, 'Quotes Log'!$H$5:$H$25, "Selected")</f>
        <v>12200</v>
      </c>
      <c r="E9" s="13">
        <f>SUMIF('Invoices &amp; Payments'!$C$5:$C$30, A9, 'Invoices &amp; Payments'!$G$5:$G$30)</f>
        <v>6100</v>
      </c>
      <c r="F9" s="13">
        <f t="shared" si="1"/>
        <v>6400</v>
      </c>
      <c r="G9" s="15" t="str">
        <f t="shared" si="2"/>
        <v>In Progress</v>
      </c>
    </row>
    <row r="10">
      <c r="A10" s="9" t="s">
        <v>95</v>
      </c>
      <c r="B10" s="9" t="s">
        <v>139</v>
      </c>
      <c r="C10" s="11">
        <v>13500.0</v>
      </c>
      <c r="D10" s="13">
        <f>SUMIFS('Quotes Log'!$E$5:$E$25, 'Quotes Log'!$B$5:$B$25, A10, 'Quotes Log'!$H$5:$H$25, "Selected")</f>
        <v>13400</v>
      </c>
      <c r="E10" s="13">
        <f>SUMIF('Invoices &amp; Payments'!$C$5:$C$30, A10, 'Invoices &amp; Payments'!$G$5:$G$30)</f>
        <v>6700</v>
      </c>
      <c r="F10" s="13">
        <f t="shared" si="1"/>
        <v>6800</v>
      </c>
      <c r="G10" s="15" t="str">
        <f t="shared" si="2"/>
        <v>In Progress</v>
      </c>
    </row>
    <row r="11">
      <c r="A11" s="9" t="s">
        <v>104</v>
      </c>
      <c r="B11" s="9" t="s">
        <v>154</v>
      </c>
      <c r="C11" s="11">
        <v>5000.0</v>
      </c>
      <c r="D11" s="13">
        <f>SUMIFS('Quotes Log'!$E$5:$E$25, 'Quotes Log'!$B$5:$B$25, A11, 'Quotes Log'!$H$5:$H$25, "Selected")</f>
        <v>4800</v>
      </c>
      <c r="E11" s="13">
        <f>SUMIF('Invoices &amp; Payments'!$C$5:$C$30, A11, 'Invoices &amp; Payments'!$G$5:$G$30)</f>
        <v>2400</v>
      </c>
      <c r="F11" s="13">
        <f t="shared" si="1"/>
        <v>2600</v>
      </c>
      <c r="G11" s="15" t="str">
        <f t="shared" si="2"/>
        <v>In Progress</v>
      </c>
    </row>
    <row r="12">
      <c r="A12" s="9" t="s">
        <v>108</v>
      </c>
      <c r="B12" s="9" t="s">
        <v>169</v>
      </c>
      <c r="C12" s="11">
        <v>8500.0</v>
      </c>
      <c r="D12" s="13">
        <f>SUMIFS('Quotes Log'!$E$5:$E$25, 'Quotes Log'!$B$5:$B$25, A12, 'Quotes Log'!$H$5:$H$25, "Selected")</f>
        <v>8200</v>
      </c>
      <c r="E12" s="13">
        <f>SUMIF('Invoices &amp; Payments'!$C$5:$C$30, A12, 'Invoices &amp; Payments'!$G$5:$G$30)</f>
        <v>4100</v>
      </c>
      <c r="F12" s="13">
        <f t="shared" si="1"/>
        <v>4400</v>
      </c>
      <c r="G12" s="15" t="str">
        <f t="shared" si="2"/>
        <v>In Progress</v>
      </c>
    </row>
    <row r="13">
      <c r="A13" s="9" t="s">
        <v>112</v>
      </c>
      <c r="B13" s="9" t="s">
        <v>182</v>
      </c>
      <c r="C13" s="11">
        <v>9000.0</v>
      </c>
      <c r="D13" s="13">
        <f>SUMIFS('Quotes Log'!$E$5:$E$25, 'Quotes Log'!$B$5:$B$25, A13, 'Quotes Log'!$H$5:$H$25, "Selected")</f>
        <v>8800</v>
      </c>
      <c r="E13" s="13">
        <f>SUMIF('Invoices &amp; Payments'!$C$5:$C$30, A13, 'Invoices &amp; Payments'!$G$5:$G$30)</f>
        <v>4400</v>
      </c>
      <c r="F13" s="13">
        <f t="shared" si="1"/>
        <v>4600</v>
      </c>
      <c r="G13" s="15" t="str">
        <f t="shared" si="2"/>
        <v>In Progress</v>
      </c>
    </row>
    <row r="14">
      <c r="A14" s="9" t="s">
        <v>142</v>
      </c>
      <c r="B14" s="9" t="s">
        <v>188</v>
      </c>
      <c r="C14" s="11">
        <v>5500.0</v>
      </c>
      <c r="D14" s="13">
        <f>SUMIFS('Quotes Log'!$E$5:$E$25, 'Quotes Log'!$B$5:$B$25, A14, 'Quotes Log'!$H$5:$H$25, "Selected")</f>
        <v>5300</v>
      </c>
      <c r="E14" s="13">
        <f>SUMIF('Invoices &amp; Payments'!$C$5:$C$30, A14, 'Invoices &amp; Payments'!$G$5:$G$30)</f>
        <v>0</v>
      </c>
      <c r="F14" s="13">
        <f t="shared" si="1"/>
        <v>5500</v>
      </c>
      <c r="G14" s="15" t="str">
        <f t="shared" si="2"/>
        <v>Committed</v>
      </c>
    </row>
    <row r="15">
      <c r="A15" s="9" t="s">
        <v>147</v>
      </c>
      <c r="B15" s="9" t="s">
        <v>189</v>
      </c>
      <c r="C15" s="11">
        <v>16000.0</v>
      </c>
      <c r="D15" s="13">
        <f>SUMIFS('Quotes Log'!$E$5:$E$25, 'Quotes Log'!$B$5:$B$25, A15, 'Quotes Log'!$H$5:$H$25, "Selected")</f>
        <v>15800</v>
      </c>
      <c r="E15" s="13">
        <f>SUMIF('Invoices &amp; Payments'!$C$5:$C$30, A15, 'Invoices &amp; Payments'!$G$5:$G$30)</f>
        <v>0</v>
      </c>
      <c r="F15" s="13">
        <f t="shared" si="1"/>
        <v>16000</v>
      </c>
      <c r="G15" s="15" t="str">
        <f t="shared" si="2"/>
        <v>Committed</v>
      </c>
    </row>
    <row r="16">
      <c r="A16" s="9" t="s">
        <v>158</v>
      </c>
      <c r="B16" s="9" t="s">
        <v>190</v>
      </c>
      <c r="C16" s="11">
        <v>4500.0</v>
      </c>
      <c r="D16" s="13">
        <f>SUMIFS('Quotes Log'!$E$5:$E$25, 'Quotes Log'!$B$5:$B$25, A16, 'Quotes Log'!$H$5:$H$25, "Selected")</f>
        <v>4200</v>
      </c>
      <c r="E16" s="13">
        <f>SUMIF('Invoices &amp; Payments'!$C$5:$C$30, A16, 'Invoices &amp; Payments'!$G$5:$G$30)</f>
        <v>0</v>
      </c>
      <c r="F16" s="13">
        <f t="shared" si="1"/>
        <v>4500</v>
      </c>
      <c r="G16" s="15" t="str">
        <f t="shared" si="2"/>
        <v>Committed</v>
      </c>
    </row>
    <row r="17">
      <c r="A17" s="9" t="s">
        <v>163</v>
      </c>
      <c r="B17" s="9" t="s">
        <v>198</v>
      </c>
      <c r="C17" s="11">
        <v>5500.0</v>
      </c>
      <c r="D17" s="13">
        <f>SUMIFS('Quotes Log'!$E$5:$E$25, 'Quotes Log'!$B$5:$B$25, A17, 'Quotes Log'!$H$5:$H$25, "Selected")</f>
        <v>5400</v>
      </c>
      <c r="E17" s="13">
        <f>SUMIF('Invoices &amp; Payments'!$C$5:$C$30, A17, 'Invoices &amp; Payments'!$G$5:$G$30)</f>
        <v>0</v>
      </c>
      <c r="F17" s="13">
        <f t="shared" si="1"/>
        <v>5500</v>
      </c>
      <c r="G17" s="15" t="str">
        <f t="shared" si="2"/>
        <v>Committed</v>
      </c>
    </row>
    <row r="18">
      <c r="A18" s="9" t="s">
        <v>168</v>
      </c>
      <c r="B18" s="9" t="s">
        <v>203</v>
      </c>
      <c r="C18" s="11">
        <v>3500.0</v>
      </c>
      <c r="D18" s="13">
        <f>SUMIFS('Quotes Log'!$E$5:$E$25, 'Quotes Log'!$B$5:$B$25, A18, 'Quotes Log'!$H$5:$H$25, "Selected")</f>
        <v>0</v>
      </c>
      <c r="E18" s="13">
        <f>SUMIF('Invoices &amp; Payments'!$C$5:$C$30, A18, 'Invoices &amp; Payments'!$G$5:$G$30)</f>
        <v>0</v>
      </c>
      <c r="F18" s="13">
        <f t="shared" si="1"/>
        <v>3500</v>
      </c>
      <c r="G18" s="15" t="str">
        <f t="shared" si="2"/>
        <v>Not Started</v>
      </c>
    </row>
    <row r="19">
      <c r="A19" s="9" t="s">
        <v>176</v>
      </c>
      <c r="B19" s="9" t="s">
        <v>207</v>
      </c>
      <c r="C19" s="11">
        <v>4000.0</v>
      </c>
      <c r="D19" s="13">
        <f>SUMIFS('Quotes Log'!$E$5:$E$25, 'Quotes Log'!$B$5:$B$25, A19, 'Quotes Log'!$H$5:$H$25, "Selected")</f>
        <v>0</v>
      </c>
      <c r="E19" s="13">
        <f>SUMIF('Invoices &amp; Payments'!$C$5:$C$30, A19, 'Invoices &amp; Payments'!$G$5:$G$30)</f>
        <v>0</v>
      </c>
      <c r="F19" s="13">
        <f t="shared" si="1"/>
        <v>4000</v>
      </c>
      <c r="G19" s="15" t="str">
        <f t="shared" si="2"/>
        <v>Not Started</v>
      </c>
    </row>
    <row r="20">
      <c r="A20" s="9" t="s">
        <v>48</v>
      </c>
      <c r="B20" s="9" t="s">
        <v>208</v>
      </c>
      <c r="C20" s="11">
        <v>2000.0</v>
      </c>
      <c r="D20" s="13">
        <f>SUMIFS('Quotes Log'!$E$5:$E$25, 'Quotes Log'!$B$5:$B$25, A20, 'Quotes Log'!$H$5:$H$25, "Selected")</f>
        <v>0</v>
      </c>
      <c r="E20" s="13">
        <f>SUMIF('Invoices &amp; Payments'!$C$5:$C$30, A20, 'Invoices &amp; Payments'!$G$5:$G$30)</f>
        <v>1200</v>
      </c>
      <c r="F20" s="13">
        <f t="shared" si="1"/>
        <v>800</v>
      </c>
      <c r="G20" s="15" t="str">
        <f t="shared" si="2"/>
        <v>In Progress</v>
      </c>
    </row>
    <row r="21">
      <c r="A21" s="9" t="s">
        <v>211</v>
      </c>
      <c r="B21" s="9" t="s">
        <v>212</v>
      </c>
      <c r="C21" s="11">
        <v>12000.0</v>
      </c>
      <c r="D21" s="13">
        <f>SUMIFS('Quotes Log'!$E$5:$E$25, 'Quotes Log'!$B$5:$B$25, A21, 'Quotes Log'!$H$5:$H$25, "Selected")</f>
        <v>0</v>
      </c>
      <c r="E21" s="13">
        <f>SUMIF('Invoices &amp; Payments'!$C$5:$C$30, A21, 'Invoices &amp; Payments'!$G$5:$G$30)</f>
        <v>0</v>
      </c>
      <c r="F21" s="13">
        <f t="shared" si="1"/>
        <v>12000</v>
      </c>
      <c r="G21" s="15" t="str">
        <f t="shared" si="2"/>
        <v>Not Started</v>
      </c>
    </row>
    <row r="22">
      <c r="A22" s="16" t="s">
        <v>215</v>
      </c>
      <c r="B22" s="16" t="s">
        <v>216</v>
      </c>
      <c r="C22" s="32">
        <f t="shared" ref="C22:F22" si="3">SUM(C5:C21)</f>
        <v>146000</v>
      </c>
      <c r="D22" s="32">
        <f t="shared" si="3"/>
        <v>121700</v>
      </c>
      <c r="E22" s="32">
        <f t="shared" si="3"/>
        <v>63800</v>
      </c>
      <c r="F22" s="32">
        <f t="shared" si="3"/>
        <v>82200</v>
      </c>
      <c r="G22" s="33" t="str">
        <f>IF(F22&gt;=0,"On Track","Over Budget")</f>
        <v>On Track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17.0"/>
    <col customWidth="1" min="2" max="2" width="26.38"/>
    <col customWidth="1" min="3" max="3" width="23.88"/>
    <col customWidth="1" min="4" max="4" width="40.13"/>
    <col customWidth="1" min="5" max="7" width="15.13"/>
    <col customWidth="1" min="8" max="8" width="16.38"/>
    <col customWidth="1" min="9" max="9" width="12.63"/>
    <col customWidth="1" min="10" max="10" width="35.13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>
      <c r="A2" s="3" t="s">
        <v>3</v>
      </c>
      <c r="B2" s="4" t="str">
        <f>HYPERLINK("https://www.costtrack.build/", "Automate quote comparisons &amp; contractor vetting at CostTrack.build →")</f>
        <v>Automate quote comparisons &amp; contractor vetting at CostTrack.build →</v>
      </c>
    </row>
    <row r="4">
      <c r="A4" s="5" t="s">
        <v>10</v>
      </c>
      <c r="B4" s="6" t="s">
        <v>9</v>
      </c>
      <c r="C4" s="6" t="s">
        <v>11</v>
      </c>
      <c r="D4" s="6" t="s">
        <v>13</v>
      </c>
      <c r="E4" s="7" t="s">
        <v>15</v>
      </c>
      <c r="F4" s="7" t="s">
        <v>17</v>
      </c>
      <c r="G4" s="7" t="s">
        <v>19</v>
      </c>
      <c r="H4" s="5" t="s">
        <v>22</v>
      </c>
      <c r="I4" s="5" t="s">
        <v>25</v>
      </c>
      <c r="J4" s="6" t="s">
        <v>27</v>
      </c>
    </row>
    <row r="5">
      <c r="A5" s="8" t="s">
        <v>29</v>
      </c>
      <c r="B5" s="9" t="s">
        <v>31</v>
      </c>
      <c r="C5" s="9" t="s">
        <v>33</v>
      </c>
      <c r="D5" s="9" t="s">
        <v>34</v>
      </c>
      <c r="E5" s="11">
        <v>6400.0</v>
      </c>
      <c r="F5" s="13">
        <f>IFNA(VLOOKUP(B5, Budget!$A$5:$C$21, 3, FALSE), 0)</f>
        <v>6500</v>
      </c>
      <c r="G5" s="13">
        <f t="shared" ref="G5:G24" si="1">IF(F5&gt;0, F5-E5, 0)</f>
        <v>100</v>
      </c>
      <c r="H5" s="8" t="s">
        <v>35</v>
      </c>
      <c r="I5" s="8" t="s">
        <v>36</v>
      </c>
      <c r="J5" s="9" t="s">
        <v>37</v>
      </c>
    </row>
    <row r="6">
      <c r="A6" s="8" t="s">
        <v>39</v>
      </c>
      <c r="B6" s="9" t="s">
        <v>40</v>
      </c>
      <c r="C6" s="9" t="s">
        <v>41</v>
      </c>
      <c r="D6" s="9" t="s">
        <v>42</v>
      </c>
      <c r="E6" s="11">
        <v>10800.0</v>
      </c>
      <c r="F6" s="13">
        <f>IFNA(VLOOKUP(B6, Budget!$A$5:$C$21, 3, FALSE), 0)</f>
        <v>11000</v>
      </c>
      <c r="G6" s="13">
        <f t="shared" si="1"/>
        <v>200</v>
      </c>
      <c r="H6" s="8" t="s">
        <v>35</v>
      </c>
      <c r="I6" s="8" t="s">
        <v>49</v>
      </c>
      <c r="J6" s="9" t="s">
        <v>50</v>
      </c>
    </row>
    <row r="7">
      <c r="A7" s="8" t="s">
        <v>52</v>
      </c>
      <c r="B7" s="9" t="s">
        <v>40</v>
      </c>
      <c r="C7" s="9" t="s">
        <v>53</v>
      </c>
      <c r="D7" s="9" t="s">
        <v>54</v>
      </c>
      <c r="E7" s="11">
        <v>11750.0</v>
      </c>
      <c r="F7" s="13">
        <f>IFNA(VLOOKUP(B7, Budget!$A$5:$C$21, 3, FALSE), 0)</f>
        <v>11000</v>
      </c>
      <c r="G7" s="13">
        <f t="shared" si="1"/>
        <v>-750</v>
      </c>
      <c r="H7" s="8" t="s">
        <v>61</v>
      </c>
      <c r="I7" s="8" t="s">
        <v>62</v>
      </c>
      <c r="J7" s="9" t="s">
        <v>63</v>
      </c>
    </row>
    <row r="8">
      <c r="A8" s="8" t="s">
        <v>64</v>
      </c>
      <c r="B8" s="9" t="s">
        <v>65</v>
      </c>
      <c r="C8" s="9" t="s">
        <v>66</v>
      </c>
      <c r="D8" s="9" t="s">
        <v>67</v>
      </c>
      <c r="E8" s="11">
        <v>9200.0</v>
      </c>
      <c r="F8" s="13">
        <f>IFNA(VLOOKUP(B8, Budget!$A$5:$C$21, 3, FALSE), 0)</f>
        <v>9500</v>
      </c>
      <c r="G8" s="13">
        <f t="shared" si="1"/>
        <v>300</v>
      </c>
      <c r="H8" s="8" t="s">
        <v>35</v>
      </c>
      <c r="I8" s="8" t="s">
        <v>72</v>
      </c>
      <c r="J8" s="9" t="s">
        <v>73</v>
      </c>
    </row>
    <row r="9">
      <c r="A9" s="8" t="s">
        <v>74</v>
      </c>
      <c r="B9" s="9" t="s">
        <v>75</v>
      </c>
      <c r="C9" s="9" t="s">
        <v>76</v>
      </c>
      <c r="D9" s="9" t="s">
        <v>77</v>
      </c>
      <c r="E9" s="11">
        <v>17200.0</v>
      </c>
      <c r="F9" s="13">
        <f>IFNA(VLOOKUP(B9, Budget!$A$5:$C$21, 3, FALSE), 0)</f>
        <v>17500</v>
      </c>
      <c r="G9" s="13">
        <f t="shared" si="1"/>
        <v>300</v>
      </c>
      <c r="H9" s="8" t="s">
        <v>35</v>
      </c>
      <c r="I9" s="8" t="s">
        <v>82</v>
      </c>
      <c r="J9" s="9" t="s">
        <v>84</v>
      </c>
    </row>
    <row r="10">
      <c r="A10" s="8" t="s">
        <v>85</v>
      </c>
      <c r="B10" s="9" t="s">
        <v>75</v>
      </c>
      <c r="C10" s="9" t="s">
        <v>86</v>
      </c>
      <c r="D10" s="9" t="s">
        <v>87</v>
      </c>
      <c r="E10" s="11">
        <v>18500.0</v>
      </c>
      <c r="F10" s="13">
        <f>IFNA(VLOOKUP(B10, Budget!$A$5:$C$21, 3, FALSE), 0)</f>
        <v>17500</v>
      </c>
      <c r="G10" s="13">
        <f t="shared" si="1"/>
        <v>-1000</v>
      </c>
      <c r="H10" s="8" t="s">
        <v>61</v>
      </c>
      <c r="I10" s="8" t="s">
        <v>97</v>
      </c>
      <c r="J10" s="9" t="s">
        <v>98</v>
      </c>
    </row>
    <row r="11">
      <c r="A11" s="8" t="s">
        <v>99</v>
      </c>
      <c r="B11" s="9" t="s">
        <v>90</v>
      </c>
      <c r="C11" s="9" t="s">
        <v>91</v>
      </c>
      <c r="D11" s="9" t="s">
        <v>100</v>
      </c>
      <c r="E11" s="11">
        <v>12200.0</v>
      </c>
      <c r="F11" s="13">
        <f>IFNA(VLOOKUP(B11, Budget!$A$5:$C$21, 3, FALSE), 0)</f>
        <v>12500</v>
      </c>
      <c r="G11" s="13">
        <f t="shared" si="1"/>
        <v>300</v>
      </c>
      <c r="H11" s="8" t="s">
        <v>35</v>
      </c>
      <c r="I11" s="8" t="s">
        <v>62</v>
      </c>
      <c r="J11" s="9" t="s">
        <v>114</v>
      </c>
    </row>
    <row r="12">
      <c r="A12" s="8" t="s">
        <v>116</v>
      </c>
      <c r="B12" s="9" t="s">
        <v>95</v>
      </c>
      <c r="C12" s="9" t="s">
        <v>96</v>
      </c>
      <c r="D12" s="9" t="s">
        <v>117</v>
      </c>
      <c r="E12" s="11">
        <v>13400.0</v>
      </c>
      <c r="F12" s="13">
        <f>IFNA(VLOOKUP(B12, Budget!$A$5:$C$21, 3, FALSE), 0)</f>
        <v>13500</v>
      </c>
      <c r="G12" s="13">
        <f t="shared" si="1"/>
        <v>100</v>
      </c>
      <c r="H12" s="8" t="s">
        <v>35</v>
      </c>
      <c r="I12" s="8" t="s">
        <v>120</v>
      </c>
      <c r="J12" s="9" t="s">
        <v>121</v>
      </c>
    </row>
    <row r="13">
      <c r="A13" s="8" t="s">
        <v>122</v>
      </c>
      <c r="B13" s="9" t="s">
        <v>95</v>
      </c>
      <c r="C13" s="9" t="s">
        <v>123</v>
      </c>
      <c r="D13" s="9" t="s">
        <v>124</v>
      </c>
      <c r="E13" s="11">
        <v>14200.0</v>
      </c>
      <c r="F13" s="13">
        <f>IFNA(VLOOKUP(B13, Budget!$A$5:$C$21, 3, FALSE), 0)</f>
        <v>13500</v>
      </c>
      <c r="G13" s="13">
        <f t="shared" si="1"/>
        <v>-700</v>
      </c>
      <c r="H13" s="8" t="s">
        <v>61</v>
      </c>
      <c r="I13" s="8" t="s">
        <v>82</v>
      </c>
      <c r="J13" s="9" t="s">
        <v>125</v>
      </c>
    </row>
    <row r="14">
      <c r="A14" s="8" t="s">
        <v>126</v>
      </c>
      <c r="B14" s="9" t="s">
        <v>104</v>
      </c>
      <c r="C14" s="9" t="s">
        <v>105</v>
      </c>
      <c r="D14" s="9" t="s">
        <v>127</v>
      </c>
      <c r="E14" s="11">
        <v>4800.0</v>
      </c>
      <c r="F14" s="13">
        <f>IFNA(VLOOKUP(B14, Budget!$A$5:$C$21, 3, FALSE), 0)</f>
        <v>5000</v>
      </c>
      <c r="G14" s="13">
        <f t="shared" si="1"/>
        <v>200</v>
      </c>
      <c r="H14" s="8" t="s">
        <v>35</v>
      </c>
      <c r="I14" s="8" t="s">
        <v>72</v>
      </c>
      <c r="J14" s="9" t="s">
        <v>129</v>
      </c>
    </row>
    <row r="15">
      <c r="A15" s="8" t="s">
        <v>130</v>
      </c>
      <c r="B15" s="9" t="s">
        <v>108</v>
      </c>
      <c r="C15" s="9" t="s">
        <v>109</v>
      </c>
      <c r="D15" s="9" t="s">
        <v>131</v>
      </c>
      <c r="E15" s="11">
        <v>8200.0</v>
      </c>
      <c r="F15" s="13">
        <f>IFNA(VLOOKUP(B15, Budget!$A$5:$C$21, 3, FALSE), 0)</f>
        <v>8500</v>
      </c>
      <c r="G15" s="13">
        <f t="shared" si="1"/>
        <v>300</v>
      </c>
      <c r="H15" s="8" t="s">
        <v>35</v>
      </c>
      <c r="I15" s="8" t="s">
        <v>49</v>
      </c>
      <c r="J15" s="9" t="s">
        <v>132</v>
      </c>
    </row>
    <row r="16">
      <c r="A16" s="8" t="s">
        <v>133</v>
      </c>
      <c r="B16" s="9" t="s">
        <v>108</v>
      </c>
      <c r="C16" s="9" t="s">
        <v>134</v>
      </c>
      <c r="D16" s="9" t="s">
        <v>135</v>
      </c>
      <c r="E16" s="11">
        <v>8900.0</v>
      </c>
      <c r="F16" s="13">
        <f>IFNA(VLOOKUP(B16, Budget!$A$5:$C$21, 3, FALSE), 0)</f>
        <v>8500</v>
      </c>
      <c r="G16" s="13">
        <f t="shared" si="1"/>
        <v>-400</v>
      </c>
      <c r="H16" s="8" t="s">
        <v>61</v>
      </c>
      <c r="I16" s="8" t="s">
        <v>62</v>
      </c>
      <c r="J16" s="9" t="s">
        <v>136</v>
      </c>
    </row>
    <row r="17">
      <c r="A17" s="8" t="s">
        <v>137</v>
      </c>
      <c r="B17" s="9" t="s">
        <v>112</v>
      </c>
      <c r="C17" s="9" t="s">
        <v>113</v>
      </c>
      <c r="D17" s="9" t="s">
        <v>138</v>
      </c>
      <c r="E17" s="11">
        <v>8800.0</v>
      </c>
      <c r="F17" s="13">
        <f>IFNA(VLOOKUP(B17, Budget!$A$5:$C$21, 3, FALSE), 0)</f>
        <v>9000</v>
      </c>
      <c r="G17" s="13">
        <f t="shared" si="1"/>
        <v>200</v>
      </c>
      <c r="H17" s="8" t="s">
        <v>35</v>
      </c>
      <c r="I17" s="8" t="s">
        <v>49</v>
      </c>
      <c r="J17" s="9" t="s">
        <v>140</v>
      </c>
    </row>
    <row r="18">
      <c r="A18" s="8" t="s">
        <v>141</v>
      </c>
      <c r="B18" s="9" t="s">
        <v>142</v>
      </c>
      <c r="C18" s="9" t="s">
        <v>143</v>
      </c>
      <c r="D18" s="9" t="s">
        <v>144</v>
      </c>
      <c r="E18" s="11">
        <v>5300.0</v>
      </c>
      <c r="F18" s="13">
        <f>IFNA(VLOOKUP(B18, Budget!$A$5:$C$21, 3, FALSE), 0)</f>
        <v>5500</v>
      </c>
      <c r="G18" s="13">
        <f t="shared" si="1"/>
        <v>200</v>
      </c>
      <c r="H18" s="8" t="s">
        <v>35</v>
      </c>
      <c r="I18" s="8" t="s">
        <v>72</v>
      </c>
      <c r="J18" s="9" t="s">
        <v>145</v>
      </c>
    </row>
    <row r="19">
      <c r="A19" s="8" t="s">
        <v>146</v>
      </c>
      <c r="B19" s="9" t="s">
        <v>147</v>
      </c>
      <c r="C19" s="9" t="s">
        <v>148</v>
      </c>
      <c r="D19" s="9" t="s">
        <v>149</v>
      </c>
      <c r="E19" s="11">
        <v>15800.0</v>
      </c>
      <c r="F19" s="13">
        <f>IFNA(VLOOKUP(B19, Budget!$A$5:$C$21, 3, FALSE), 0)</f>
        <v>16000</v>
      </c>
      <c r="G19" s="13">
        <f t="shared" si="1"/>
        <v>200</v>
      </c>
      <c r="H19" s="8" t="s">
        <v>35</v>
      </c>
      <c r="I19" s="8" t="s">
        <v>97</v>
      </c>
      <c r="J19" s="9" t="s">
        <v>150</v>
      </c>
    </row>
    <row r="20">
      <c r="A20" s="8" t="s">
        <v>151</v>
      </c>
      <c r="B20" s="9" t="s">
        <v>147</v>
      </c>
      <c r="C20" s="9" t="s">
        <v>152</v>
      </c>
      <c r="D20" s="9" t="s">
        <v>153</v>
      </c>
      <c r="E20" s="11">
        <v>17900.0</v>
      </c>
      <c r="F20" s="13">
        <f>IFNA(VLOOKUP(B20, Budget!$A$5:$C$21, 3, FALSE), 0)</f>
        <v>16000</v>
      </c>
      <c r="G20" s="13">
        <f t="shared" si="1"/>
        <v>-1900</v>
      </c>
      <c r="H20" s="8" t="s">
        <v>61</v>
      </c>
      <c r="I20" s="8" t="s">
        <v>155</v>
      </c>
      <c r="J20" s="9" t="s">
        <v>156</v>
      </c>
    </row>
    <row r="21">
      <c r="A21" s="8" t="s">
        <v>157</v>
      </c>
      <c r="B21" s="9" t="s">
        <v>158</v>
      </c>
      <c r="C21" s="9" t="s">
        <v>159</v>
      </c>
      <c r="D21" s="9" t="s">
        <v>160</v>
      </c>
      <c r="E21" s="11">
        <v>4200.0</v>
      </c>
      <c r="F21" s="13">
        <f>IFNA(VLOOKUP(B21, Budget!$A$5:$C$21, 3, FALSE), 0)</f>
        <v>4500</v>
      </c>
      <c r="G21" s="13">
        <f t="shared" si="1"/>
        <v>300</v>
      </c>
      <c r="H21" s="8" t="s">
        <v>35</v>
      </c>
      <c r="I21" s="8" t="s">
        <v>72</v>
      </c>
      <c r="J21" s="9" t="s">
        <v>161</v>
      </c>
    </row>
    <row r="22">
      <c r="A22" s="8" t="s">
        <v>162</v>
      </c>
      <c r="B22" s="9" t="s">
        <v>163</v>
      </c>
      <c r="C22" s="9" t="s">
        <v>164</v>
      </c>
      <c r="D22" s="9" t="s">
        <v>165</v>
      </c>
      <c r="E22" s="11">
        <v>5400.0</v>
      </c>
      <c r="F22" s="13">
        <f>IFNA(VLOOKUP(B22, Budget!$A$5:$C$21, 3, FALSE), 0)</f>
        <v>5500</v>
      </c>
      <c r="G22" s="13">
        <f t="shared" si="1"/>
        <v>100</v>
      </c>
      <c r="H22" s="8" t="s">
        <v>35</v>
      </c>
      <c r="I22" s="8" t="s">
        <v>49</v>
      </c>
      <c r="J22" s="9" t="s">
        <v>166</v>
      </c>
    </row>
    <row r="23">
      <c r="A23" s="8" t="s">
        <v>167</v>
      </c>
      <c r="B23" s="9" t="s">
        <v>168</v>
      </c>
      <c r="C23" s="9" t="s">
        <v>170</v>
      </c>
      <c r="D23" s="9" t="s">
        <v>171</v>
      </c>
      <c r="E23" s="11">
        <v>3400.0</v>
      </c>
      <c r="F23" s="13">
        <f>IFNA(VLOOKUP(B23, Budget!$A$5:$C$21, 3, FALSE), 0)</f>
        <v>3500</v>
      </c>
      <c r="G23" s="13">
        <f t="shared" si="1"/>
        <v>100</v>
      </c>
      <c r="H23" s="8" t="s">
        <v>173</v>
      </c>
      <c r="I23" s="8" t="s">
        <v>72</v>
      </c>
      <c r="J23" s="9" t="s">
        <v>174</v>
      </c>
    </row>
    <row r="24">
      <c r="A24" s="8" t="s">
        <v>175</v>
      </c>
      <c r="B24" s="9" t="s">
        <v>176</v>
      </c>
      <c r="C24" s="9" t="s">
        <v>177</v>
      </c>
      <c r="D24" s="9" t="s">
        <v>178</v>
      </c>
      <c r="E24" s="11">
        <v>3900.0</v>
      </c>
      <c r="F24" s="13">
        <f>IFNA(VLOOKUP(B24, Budget!$A$5:$C$21, 3, FALSE), 0)</f>
        <v>4000</v>
      </c>
      <c r="G24" s="13">
        <f t="shared" si="1"/>
        <v>100</v>
      </c>
      <c r="H24" s="8" t="s">
        <v>173</v>
      </c>
      <c r="I24" s="8" t="s">
        <v>62</v>
      </c>
      <c r="J24" s="9" t="s">
        <v>181</v>
      </c>
    </row>
    <row r="25">
      <c r="H25" s="19"/>
    </row>
  </sheetData>
  <dataValidations>
    <dataValidation type="list" allowBlank="1" sqref="H5:H25">
      <formula1>"Selected,Received,Draft,Declined"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2.63" defaultRowHeight="15.75"/>
  <cols>
    <col customWidth="1" min="1" max="1" width="18.88"/>
    <col customWidth="1" min="2" max="2" width="12.63"/>
    <col customWidth="1" min="3" max="3" width="26.38"/>
    <col customWidth="1" min="4" max="4" width="25.13"/>
    <col customWidth="1" min="5" max="7" width="14.5"/>
    <col customWidth="1" min="8" max="8" width="12.63"/>
    <col customWidth="1" min="9" max="9" width="15.75"/>
    <col customWidth="1" min="10" max="10" width="15.13"/>
    <col customWidth="1" min="11" max="11" width="37.63"/>
  </cols>
  <sheetData>
    <row r="1">
      <c r="A1" s="1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3" t="s">
        <v>5</v>
      </c>
      <c r="B2" s="4" t="str">
        <f>HYPERLINK("https://www.costtrack.build/", "Automate stage payments &amp; invoice management at CostTrack.build →")</f>
        <v>Automate stage payments &amp; invoice management at CostTrack.build →</v>
      </c>
    </row>
    <row r="4">
      <c r="A4" s="5" t="s">
        <v>6</v>
      </c>
      <c r="B4" s="5" t="s">
        <v>8</v>
      </c>
      <c r="C4" s="6" t="s">
        <v>9</v>
      </c>
      <c r="D4" s="6" t="s">
        <v>12</v>
      </c>
      <c r="E4" s="7" t="s">
        <v>16</v>
      </c>
      <c r="F4" s="7" t="s">
        <v>18</v>
      </c>
      <c r="G4" s="7" t="s">
        <v>21</v>
      </c>
      <c r="H4" s="5" t="s">
        <v>24</v>
      </c>
      <c r="I4" s="5" t="s">
        <v>26</v>
      </c>
      <c r="J4" s="5" t="s">
        <v>28</v>
      </c>
      <c r="K4" s="6" t="s">
        <v>27</v>
      </c>
    </row>
    <row r="5">
      <c r="A5" s="8" t="s">
        <v>30</v>
      </c>
      <c r="B5" s="10">
        <v>46157.0</v>
      </c>
      <c r="C5" s="9" t="s">
        <v>31</v>
      </c>
      <c r="D5" s="9" t="s">
        <v>33</v>
      </c>
      <c r="E5" s="12">
        <v>2666.67</v>
      </c>
      <c r="F5" s="14">
        <f t="shared" ref="F5:F18" si="1">IF(E5&gt;0, ROUND(E5*0.2, 2), 0)</f>
        <v>533.33</v>
      </c>
      <c r="G5" s="14">
        <f t="shared" ref="G5:G18" si="2">IF(E5&gt;0, E5+F5, 0)</f>
        <v>3200</v>
      </c>
      <c r="H5" s="10">
        <v>46172.0</v>
      </c>
      <c r="I5" s="8" t="s">
        <v>38</v>
      </c>
      <c r="J5" s="8" t="s">
        <v>43</v>
      </c>
      <c r="K5" s="9" t="s">
        <v>44</v>
      </c>
    </row>
    <row r="6">
      <c r="A6" s="8" t="s">
        <v>45</v>
      </c>
      <c r="B6" s="10">
        <v>46193.0</v>
      </c>
      <c r="C6" s="9" t="s">
        <v>31</v>
      </c>
      <c r="D6" s="9" t="s">
        <v>33</v>
      </c>
      <c r="E6" s="12">
        <v>2666.67</v>
      </c>
      <c r="F6" s="14">
        <f t="shared" si="1"/>
        <v>533.33</v>
      </c>
      <c r="G6" s="14">
        <f t="shared" si="2"/>
        <v>3200</v>
      </c>
      <c r="H6" s="10">
        <v>46208.0</v>
      </c>
      <c r="I6" s="8" t="s">
        <v>38</v>
      </c>
      <c r="J6" s="8" t="s">
        <v>43</v>
      </c>
      <c r="K6" s="9" t="s">
        <v>46</v>
      </c>
    </row>
    <row r="7">
      <c r="A7" s="8" t="s">
        <v>47</v>
      </c>
      <c r="B7" s="10">
        <v>46205.0</v>
      </c>
      <c r="C7" s="9" t="s">
        <v>48</v>
      </c>
      <c r="D7" s="9" t="s">
        <v>51</v>
      </c>
      <c r="E7" s="12">
        <v>1000.0</v>
      </c>
      <c r="F7" s="14">
        <f t="shared" si="1"/>
        <v>200</v>
      </c>
      <c r="G7" s="14">
        <f t="shared" si="2"/>
        <v>1200</v>
      </c>
      <c r="H7" s="10">
        <v>46219.0</v>
      </c>
      <c r="I7" s="8" t="s">
        <v>38</v>
      </c>
      <c r="J7" s="8" t="s">
        <v>55</v>
      </c>
      <c r="K7" s="9" t="s">
        <v>56</v>
      </c>
    </row>
    <row r="8">
      <c r="A8" s="8" t="s">
        <v>58</v>
      </c>
      <c r="B8" s="10">
        <v>46217.0</v>
      </c>
      <c r="C8" s="9" t="s">
        <v>40</v>
      </c>
      <c r="D8" s="9" t="s">
        <v>41</v>
      </c>
      <c r="E8" s="12">
        <v>4500.0</v>
      </c>
      <c r="F8" s="14">
        <f t="shared" si="1"/>
        <v>900</v>
      </c>
      <c r="G8" s="14">
        <f t="shared" si="2"/>
        <v>5400</v>
      </c>
      <c r="H8" s="10">
        <v>46231.0</v>
      </c>
      <c r="I8" s="8" t="s">
        <v>38</v>
      </c>
      <c r="J8" s="8" t="s">
        <v>43</v>
      </c>
      <c r="K8" s="9" t="s">
        <v>59</v>
      </c>
    </row>
    <row r="9">
      <c r="A9" s="8" t="s">
        <v>60</v>
      </c>
      <c r="B9" s="10">
        <v>46231.0</v>
      </c>
      <c r="C9" s="9" t="s">
        <v>40</v>
      </c>
      <c r="D9" s="9" t="s">
        <v>41</v>
      </c>
      <c r="E9" s="12">
        <v>4500.0</v>
      </c>
      <c r="F9" s="14">
        <f t="shared" si="1"/>
        <v>900</v>
      </c>
      <c r="G9" s="14">
        <f t="shared" si="2"/>
        <v>5400</v>
      </c>
      <c r="H9" s="10">
        <v>46245.0</v>
      </c>
      <c r="I9" s="8" t="s">
        <v>38</v>
      </c>
      <c r="J9" s="8" t="s">
        <v>43</v>
      </c>
      <c r="K9" s="9" t="s">
        <v>68</v>
      </c>
    </row>
    <row r="10">
      <c r="A10" s="8" t="s">
        <v>69</v>
      </c>
      <c r="B10" s="10">
        <v>46242.0</v>
      </c>
      <c r="C10" s="9" t="s">
        <v>65</v>
      </c>
      <c r="D10" s="9" t="s">
        <v>66</v>
      </c>
      <c r="E10" s="12">
        <v>3833.33</v>
      </c>
      <c r="F10" s="14">
        <f t="shared" si="1"/>
        <v>766.67</v>
      </c>
      <c r="G10" s="14">
        <f t="shared" si="2"/>
        <v>4600</v>
      </c>
      <c r="H10" s="10">
        <v>46256.0</v>
      </c>
      <c r="I10" s="8" t="s">
        <v>38</v>
      </c>
      <c r="J10" s="8" t="s">
        <v>43</v>
      </c>
      <c r="K10" s="9" t="s">
        <v>70</v>
      </c>
    </row>
    <row r="11">
      <c r="A11" s="8" t="s">
        <v>71</v>
      </c>
      <c r="B11" s="10">
        <v>46254.0</v>
      </c>
      <c r="C11" s="9" t="s">
        <v>65</v>
      </c>
      <c r="D11" s="9" t="s">
        <v>66</v>
      </c>
      <c r="E11" s="12">
        <v>3833.33</v>
      </c>
      <c r="F11" s="14">
        <f t="shared" si="1"/>
        <v>766.67</v>
      </c>
      <c r="G11" s="14">
        <f t="shared" si="2"/>
        <v>4600</v>
      </c>
      <c r="H11" s="10">
        <v>46268.0</v>
      </c>
      <c r="I11" s="8" t="s">
        <v>38</v>
      </c>
      <c r="J11" s="8" t="s">
        <v>43</v>
      </c>
      <c r="K11" s="9" t="s">
        <v>78</v>
      </c>
    </row>
    <row r="12">
      <c r="A12" s="8" t="s">
        <v>79</v>
      </c>
      <c r="B12" s="10">
        <v>46270.0</v>
      </c>
      <c r="C12" s="9" t="s">
        <v>75</v>
      </c>
      <c r="D12" s="9" t="s">
        <v>76</v>
      </c>
      <c r="E12" s="12">
        <v>5416.67</v>
      </c>
      <c r="F12" s="14">
        <f t="shared" si="1"/>
        <v>1083.33</v>
      </c>
      <c r="G12" s="14">
        <f t="shared" si="2"/>
        <v>6500</v>
      </c>
      <c r="H12" s="10">
        <v>46284.0</v>
      </c>
      <c r="I12" s="8" t="s">
        <v>38</v>
      </c>
      <c r="J12" s="8" t="s">
        <v>43</v>
      </c>
      <c r="K12" s="9" t="s">
        <v>80</v>
      </c>
    </row>
    <row r="13">
      <c r="A13" s="8" t="s">
        <v>81</v>
      </c>
      <c r="B13" s="10">
        <v>46287.0</v>
      </c>
      <c r="C13" s="9" t="s">
        <v>75</v>
      </c>
      <c r="D13" s="9" t="s">
        <v>76</v>
      </c>
      <c r="E13" s="12">
        <v>5000.0</v>
      </c>
      <c r="F13" s="14">
        <f t="shared" si="1"/>
        <v>1000</v>
      </c>
      <c r="G13" s="14">
        <f t="shared" si="2"/>
        <v>6000</v>
      </c>
      <c r="H13" s="10">
        <v>46301.0</v>
      </c>
      <c r="I13" s="8" t="s">
        <v>38</v>
      </c>
      <c r="J13" s="8" t="s">
        <v>43</v>
      </c>
      <c r="K13" s="9" t="s">
        <v>88</v>
      </c>
    </row>
    <row r="14">
      <c r="A14" s="8" t="s">
        <v>89</v>
      </c>
      <c r="B14" s="10">
        <v>46297.0</v>
      </c>
      <c r="C14" s="9" t="s">
        <v>90</v>
      </c>
      <c r="D14" s="9" t="s">
        <v>91</v>
      </c>
      <c r="E14" s="12">
        <v>5083.33</v>
      </c>
      <c r="F14" s="14">
        <f t="shared" si="1"/>
        <v>1016.67</v>
      </c>
      <c r="G14" s="14">
        <f t="shared" si="2"/>
        <v>6100</v>
      </c>
      <c r="H14" s="10">
        <v>46311.0</v>
      </c>
      <c r="I14" s="8" t="s">
        <v>92</v>
      </c>
      <c r="J14" s="8" t="s">
        <v>43</v>
      </c>
      <c r="K14" s="9" t="s">
        <v>93</v>
      </c>
    </row>
    <row r="15">
      <c r="A15" s="8" t="s">
        <v>94</v>
      </c>
      <c r="B15" s="10">
        <v>46303.0</v>
      </c>
      <c r="C15" s="9" t="s">
        <v>95</v>
      </c>
      <c r="D15" s="9" t="s">
        <v>96</v>
      </c>
      <c r="E15" s="12">
        <v>5583.33</v>
      </c>
      <c r="F15" s="14">
        <f t="shared" si="1"/>
        <v>1116.67</v>
      </c>
      <c r="G15" s="14">
        <f t="shared" si="2"/>
        <v>6700</v>
      </c>
      <c r="H15" s="10">
        <v>46317.0</v>
      </c>
      <c r="I15" s="8" t="s">
        <v>101</v>
      </c>
      <c r="J15" s="8" t="s">
        <v>43</v>
      </c>
      <c r="K15" s="9" t="s">
        <v>102</v>
      </c>
    </row>
    <row r="16">
      <c r="A16" s="8" t="s">
        <v>103</v>
      </c>
      <c r="B16" s="10">
        <v>46304.0</v>
      </c>
      <c r="C16" s="9" t="s">
        <v>104</v>
      </c>
      <c r="D16" s="9" t="s">
        <v>105</v>
      </c>
      <c r="E16" s="12">
        <v>2000.0</v>
      </c>
      <c r="F16" s="14">
        <f t="shared" si="1"/>
        <v>400</v>
      </c>
      <c r="G16" s="14">
        <f t="shared" si="2"/>
        <v>2400</v>
      </c>
      <c r="H16" s="10">
        <v>46318.0</v>
      </c>
      <c r="I16" s="8" t="s">
        <v>101</v>
      </c>
      <c r="J16" s="8" t="s">
        <v>43</v>
      </c>
      <c r="K16" s="9" t="s">
        <v>106</v>
      </c>
    </row>
    <row r="17">
      <c r="A17" s="8" t="s">
        <v>107</v>
      </c>
      <c r="B17" s="10">
        <v>46305.0</v>
      </c>
      <c r="C17" s="9" t="s">
        <v>108</v>
      </c>
      <c r="D17" s="9" t="s">
        <v>109</v>
      </c>
      <c r="E17" s="12">
        <v>3416.67</v>
      </c>
      <c r="F17" s="14">
        <f t="shared" si="1"/>
        <v>683.33</v>
      </c>
      <c r="G17" s="14">
        <f t="shared" si="2"/>
        <v>4100</v>
      </c>
      <c r="H17" s="10">
        <v>46319.0</v>
      </c>
      <c r="I17" s="8" t="s">
        <v>101</v>
      </c>
      <c r="J17" s="8" t="s">
        <v>43</v>
      </c>
      <c r="K17" s="9" t="s">
        <v>110</v>
      </c>
    </row>
    <row r="18">
      <c r="A18" s="8" t="s">
        <v>111</v>
      </c>
      <c r="B18" s="10">
        <v>46305.0</v>
      </c>
      <c r="C18" s="9" t="s">
        <v>112</v>
      </c>
      <c r="D18" s="9" t="s">
        <v>113</v>
      </c>
      <c r="E18" s="12">
        <v>3666.67</v>
      </c>
      <c r="F18" s="14">
        <f t="shared" si="1"/>
        <v>733.33</v>
      </c>
      <c r="G18" s="14">
        <f t="shared" si="2"/>
        <v>4400</v>
      </c>
      <c r="H18" s="10">
        <v>46320.0</v>
      </c>
      <c r="I18" s="8" t="s">
        <v>101</v>
      </c>
      <c r="J18" s="8" t="s">
        <v>43</v>
      </c>
      <c r="K18" s="9" t="s">
        <v>118</v>
      </c>
    </row>
    <row r="19">
      <c r="A19" s="16" t="s">
        <v>119</v>
      </c>
      <c r="B19" s="17"/>
      <c r="C19" s="17"/>
      <c r="D19" s="17"/>
      <c r="E19" s="18">
        <f t="shared" ref="E19:G19" si="3">SUM(E5:E18)</f>
        <v>53166.67</v>
      </c>
      <c r="F19" s="18">
        <f t="shared" si="3"/>
        <v>10633.33</v>
      </c>
      <c r="G19" s="18">
        <f t="shared" si="3"/>
        <v>63800</v>
      </c>
      <c r="H19" s="17"/>
      <c r="I19" s="17"/>
      <c r="J19" s="17"/>
      <c r="K19" s="17"/>
    </row>
    <row r="20">
      <c r="I20" s="19"/>
    </row>
    <row r="21">
      <c r="I21" s="19"/>
    </row>
    <row r="22">
      <c r="I22" s="19"/>
    </row>
    <row r="23">
      <c r="I23" s="19"/>
    </row>
    <row r="24">
      <c r="I24" s="19"/>
    </row>
    <row r="25">
      <c r="I25" s="19"/>
    </row>
    <row r="26">
      <c r="I26" s="19"/>
    </row>
    <row r="27">
      <c r="I27" s="19"/>
    </row>
    <row r="28">
      <c r="I28" s="19"/>
    </row>
    <row r="29">
      <c r="I29" s="19"/>
    </row>
    <row r="30">
      <c r="I30" s="19"/>
    </row>
  </sheetData>
  <dataValidations>
    <dataValidation type="list" allowBlank="1" sqref="I5:I30">
      <formula1>"Paid,Approved,Pending,Disputed"</formula1>
    </dataValidation>
  </dataValidations>
  <drawing r:id="rId1"/>
</worksheet>
</file>